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hsydir.sharepoint.com/sites/Jtehuollontutkimusjakehitys/Shared Documents/Jätteiden koostumus/2021 Sekajätteen koostumus/Raportti/"/>
    </mc:Choice>
  </mc:AlternateContent>
  <xr:revisionPtr revIDLastSave="1352" documentId="8_{918BA3B2-7B4B-427B-9FF9-33A79C84432E}" xr6:coauthVersionLast="47" xr6:coauthVersionMax="47" xr10:uidLastSave="{C0F06121-FB07-4ACC-9D23-28ED0ABF3E12}"/>
  <bookViews>
    <workbookView xWindow="-110" yWindow="-110" windowWidth="19420" windowHeight="10420" activeTab="5" xr2:uid="{D92A2646-7D50-4535-A6BF-172839A3C553}"/>
  </bookViews>
  <sheets>
    <sheet name="Kuvat" sheetId="5" r:id="rId1"/>
    <sheet name="Taulukot" sheetId="4" r:id="rId2"/>
    <sheet name="Liite 1" sheetId="6" r:id="rId3"/>
    <sheet name="Liite 2 " sheetId="1" r:id="rId4"/>
    <sheet name=" Liite 3" sheetId="2" r:id="rId5"/>
    <sheet name="Liite 4" sheetId="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8" i="2" l="1"/>
  <c r="Y35" i="2"/>
  <c r="Y4" i="2"/>
  <c r="Y7" i="2"/>
  <c r="D5" i="3"/>
  <c r="S78" i="3"/>
  <c r="P78" i="3"/>
  <c r="M78" i="3"/>
  <c r="J78" i="3"/>
  <c r="G78" i="3"/>
  <c r="D78" i="3"/>
  <c r="S77" i="3"/>
  <c r="P77" i="3"/>
  <c r="M77" i="3"/>
  <c r="J77" i="3"/>
  <c r="G77" i="3"/>
  <c r="D77" i="3"/>
  <c r="S76" i="3"/>
  <c r="P76" i="3"/>
  <c r="M76" i="3"/>
  <c r="J76" i="3"/>
  <c r="G76" i="3"/>
  <c r="D76" i="3"/>
  <c r="S75" i="3"/>
  <c r="P75" i="3"/>
  <c r="M75" i="3"/>
  <c r="J75" i="3"/>
  <c r="G75" i="3"/>
  <c r="D75" i="3"/>
  <c r="S74" i="3"/>
  <c r="P74" i="3"/>
  <c r="M74" i="3"/>
  <c r="J74" i="3"/>
  <c r="G74" i="3"/>
  <c r="D74" i="3"/>
  <c r="S73" i="3"/>
  <c r="P73" i="3"/>
  <c r="M73" i="3"/>
  <c r="J73" i="3"/>
  <c r="G73" i="3"/>
  <c r="D73" i="3"/>
  <c r="S71" i="3"/>
  <c r="P71" i="3"/>
  <c r="M71" i="3"/>
  <c r="J71" i="3"/>
  <c r="G71" i="3"/>
  <c r="D71" i="3"/>
  <c r="S70" i="3"/>
  <c r="P70" i="3"/>
  <c r="M70" i="3"/>
  <c r="J70" i="3"/>
  <c r="G70" i="3"/>
  <c r="D70" i="3"/>
  <c r="S68" i="3"/>
  <c r="P68" i="3"/>
  <c r="M68" i="3"/>
  <c r="J68" i="3"/>
  <c r="G68" i="3"/>
  <c r="D68" i="3"/>
  <c r="S67" i="3"/>
  <c r="P67" i="3"/>
  <c r="M67" i="3"/>
  <c r="J67" i="3"/>
  <c r="G67" i="3"/>
  <c r="D67" i="3"/>
  <c r="S66" i="3"/>
  <c r="P66" i="3"/>
  <c r="M66" i="3"/>
  <c r="J66" i="3"/>
  <c r="G66" i="3"/>
  <c r="D66" i="3"/>
  <c r="S64" i="3"/>
  <c r="P64" i="3"/>
  <c r="M64" i="3"/>
  <c r="J64" i="3"/>
  <c r="G64" i="3"/>
  <c r="D64" i="3"/>
  <c r="S62" i="3"/>
  <c r="P62" i="3"/>
  <c r="M62" i="3"/>
  <c r="J62" i="3"/>
  <c r="G62" i="3"/>
  <c r="D62" i="3"/>
  <c r="S61" i="3"/>
  <c r="P61" i="3"/>
  <c r="M61" i="3"/>
  <c r="J61" i="3"/>
  <c r="G61" i="3"/>
  <c r="D61" i="3"/>
  <c r="S60" i="3"/>
  <c r="P60" i="3"/>
  <c r="M60" i="3"/>
  <c r="J60" i="3"/>
  <c r="G60" i="3"/>
  <c r="D60" i="3"/>
  <c r="S57" i="3"/>
  <c r="P57" i="3"/>
  <c r="M57" i="3"/>
  <c r="J57" i="3"/>
  <c r="G57" i="3"/>
  <c r="D57" i="3"/>
  <c r="S56" i="3"/>
  <c r="P56" i="3"/>
  <c r="M56" i="3"/>
  <c r="J56" i="3"/>
  <c r="G56" i="3"/>
  <c r="D56" i="3"/>
  <c r="S55" i="3"/>
  <c r="P55" i="3"/>
  <c r="M55" i="3"/>
  <c r="J55" i="3"/>
  <c r="G55" i="3"/>
  <c r="D55" i="3"/>
  <c r="S53" i="3"/>
  <c r="P53" i="3"/>
  <c r="M53" i="3"/>
  <c r="J53" i="3"/>
  <c r="G53" i="3"/>
  <c r="D53" i="3"/>
  <c r="S51" i="3"/>
  <c r="P51" i="3"/>
  <c r="M51" i="3"/>
  <c r="J51" i="3"/>
  <c r="G51" i="3"/>
  <c r="D51" i="3"/>
  <c r="S50" i="3"/>
  <c r="P50" i="3"/>
  <c r="M50" i="3"/>
  <c r="J50" i="3"/>
  <c r="G50" i="3"/>
  <c r="D50" i="3"/>
  <c r="S49" i="3"/>
  <c r="P49" i="3"/>
  <c r="M49" i="3"/>
  <c r="J49" i="3"/>
  <c r="G49" i="3"/>
  <c r="D49" i="3"/>
  <c r="S48" i="3"/>
  <c r="P48" i="3"/>
  <c r="M48" i="3"/>
  <c r="J48" i="3"/>
  <c r="G48" i="3"/>
  <c r="D48" i="3"/>
  <c r="S45" i="3"/>
  <c r="P45" i="3"/>
  <c r="M45" i="3"/>
  <c r="J45" i="3"/>
  <c r="G45" i="3"/>
  <c r="D45" i="3"/>
  <c r="S44" i="3"/>
  <c r="P44" i="3"/>
  <c r="M44" i="3"/>
  <c r="J44" i="3"/>
  <c r="G44" i="3"/>
  <c r="D44" i="3"/>
  <c r="S43" i="3"/>
  <c r="P43" i="3"/>
  <c r="M43" i="3"/>
  <c r="J43" i="3"/>
  <c r="G43" i="3"/>
  <c r="D43" i="3"/>
  <c r="S41" i="3"/>
  <c r="P41" i="3"/>
  <c r="M41" i="3"/>
  <c r="J41" i="3"/>
  <c r="G41" i="3"/>
  <c r="D41" i="3"/>
  <c r="S40" i="3"/>
  <c r="P40" i="3"/>
  <c r="M40" i="3"/>
  <c r="J40" i="3"/>
  <c r="G40" i="3"/>
  <c r="D40" i="3"/>
  <c r="S39" i="3"/>
  <c r="P39" i="3"/>
  <c r="M39" i="3"/>
  <c r="J39" i="3"/>
  <c r="G39" i="3"/>
  <c r="D39" i="3"/>
  <c r="S37" i="3"/>
  <c r="P37" i="3"/>
  <c r="M37" i="3"/>
  <c r="J37" i="3"/>
  <c r="G37" i="3"/>
  <c r="D37" i="3"/>
  <c r="S36" i="3"/>
  <c r="P36" i="3"/>
  <c r="M36" i="3"/>
  <c r="J36" i="3"/>
  <c r="G36" i="3"/>
  <c r="D36" i="3"/>
  <c r="S33" i="3"/>
  <c r="P33" i="3"/>
  <c r="M33" i="3"/>
  <c r="J33" i="3"/>
  <c r="G33" i="3"/>
  <c r="D33" i="3"/>
  <c r="S32" i="3"/>
  <c r="P32" i="3"/>
  <c r="M32" i="3"/>
  <c r="J32" i="3"/>
  <c r="G32" i="3"/>
  <c r="D32" i="3"/>
  <c r="S31" i="3"/>
  <c r="P31" i="3"/>
  <c r="M31" i="3"/>
  <c r="J31" i="3"/>
  <c r="G31" i="3"/>
  <c r="D31" i="3"/>
  <c r="S29" i="3"/>
  <c r="P29" i="3"/>
  <c r="S28" i="3"/>
  <c r="P28" i="3"/>
  <c r="M28" i="3"/>
  <c r="J28" i="3"/>
  <c r="G28" i="3"/>
  <c r="D28" i="3"/>
  <c r="S26" i="3"/>
  <c r="P26" i="3"/>
  <c r="M26" i="3"/>
  <c r="J26" i="3"/>
  <c r="G26" i="3"/>
  <c r="D26" i="3"/>
  <c r="S25" i="3"/>
  <c r="P25" i="3"/>
  <c r="M25" i="3"/>
  <c r="J25" i="3"/>
  <c r="G25" i="3"/>
  <c r="D25" i="3"/>
  <c r="S24" i="3"/>
  <c r="P24" i="3"/>
  <c r="M24" i="3"/>
  <c r="J24" i="3"/>
  <c r="G24" i="3"/>
  <c r="D24" i="3"/>
  <c r="S23" i="3"/>
  <c r="P23" i="3"/>
  <c r="M23" i="3"/>
  <c r="J23" i="3"/>
  <c r="G23" i="3"/>
  <c r="D23" i="3"/>
  <c r="S22" i="3"/>
  <c r="P22" i="3"/>
  <c r="M22" i="3"/>
  <c r="J22" i="3"/>
  <c r="G22" i="3"/>
  <c r="D22" i="3"/>
  <c r="S19" i="3"/>
  <c r="P19" i="3"/>
  <c r="M19" i="3"/>
  <c r="J19" i="3"/>
  <c r="G19" i="3"/>
  <c r="D19" i="3"/>
  <c r="S18" i="3"/>
  <c r="D18" i="3"/>
  <c r="S17" i="3"/>
  <c r="P17" i="3"/>
  <c r="M17" i="3"/>
  <c r="J17" i="3"/>
  <c r="G17" i="3"/>
  <c r="D17" i="3"/>
  <c r="S15" i="3"/>
  <c r="P15" i="3"/>
  <c r="M15" i="3"/>
  <c r="J15" i="3"/>
  <c r="G15" i="3"/>
  <c r="D15" i="3"/>
  <c r="S14" i="3"/>
  <c r="P14" i="3"/>
  <c r="M14" i="3"/>
  <c r="J14" i="3"/>
  <c r="G14" i="3"/>
  <c r="D14" i="3"/>
  <c r="S12" i="3"/>
  <c r="P12" i="3"/>
  <c r="M12" i="3"/>
  <c r="J12" i="3"/>
  <c r="G12" i="3"/>
  <c r="D12" i="3"/>
  <c r="S11" i="3"/>
  <c r="P11" i="3"/>
  <c r="M11" i="3"/>
  <c r="J11" i="3"/>
  <c r="G11" i="3"/>
  <c r="D11" i="3"/>
  <c r="S10" i="3"/>
  <c r="P10" i="3"/>
  <c r="M10" i="3"/>
  <c r="J10" i="3"/>
  <c r="G10" i="3"/>
  <c r="D10" i="3"/>
  <c r="S9" i="3"/>
  <c r="P9" i="3"/>
  <c r="M9" i="3"/>
  <c r="J9" i="3"/>
  <c r="G9" i="3"/>
  <c r="D9" i="3"/>
  <c r="S8" i="3"/>
  <c r="P8" i="3"/>
  <c r="M8" i="3"/>
  <c r="J8" i="3"/>
  <c r="G8" i="3"/>
  <c r="D8" i="3"/>
  <c r="S6" i="3"/>
  <c r="P6" i="3"/>
  <c r="M6" i="3"/>
  <c r="J6" i="3"/>
  <c r="G6" i="3"/>
  <c r="D6" i="3"/>
  <c r="S5" i="3"/>
  <c r="P5" i="3"/>
  <c r="M5" i="3"/>
  <c r="J5" i="3"/>
  <c r="G5" i="3"/>
  <c r="S38" i="2"/>
  <c r="S35" i="2"/>
  <c r="S7" i="2"/>
  <c r="S4" i="2"/>
  <c r="J38" i="2"/>
  <c r="J35" i="2"/>
  <c r="M35" i="2"/>
  <c r="M38" i="2"/>
  <c r="P35" i="2"/>
  <c r="P38" i="2"/>
  <c r="P7" i="2"/>
  <c r="M7" i="2"/>
  <c r="J7" i="2" l="1"/>
  <c r="G35" i="2"/>
  <c r="G38" i="2"/>
  <c r="D7" i="2"/>
  <c r="G7" i="2"/>
  <c r="D35" i="2"/>
  <c r="D38" i="2"/>
  <c r="D19" i="2"/>
  <c r="L41" i="4" l="1"/>
  <c r="K41" i="4"/>
  <c r="L31" i="4"/>
  <c r="K31" i="4"/>
  <c r="M30" i="4"/>
  <c r="M29" i="4"/>
  <c r="M28" i="4"/>
  <c r="L27" i="4"/>
  <c r="K27" i="4"/>
  <c r="M26" i="4"/>
  <c r="L26" i="4"/>
  <c r="L24" i="4" s="1"/>
  <c r="L42" i="4" s="1"/>
  <c r="K26" i="4"/>
  <c r="K24" i="4" s="1"/>
  <c r="K42" i="4" s="1"/>
  <c r="N25" i="4"/>
  <c r="N26" i="4" s="1"/>
  <c r="M25" i="4"/>
  <c r="P4" i="2" l="1"/>
  <c r="M4" i="2"/>
  <c r="J4" i="2"/>
  <c r="G4" i="2"/>
  <c r="D4" i="2"/>
</calcChain>
</file>

<file path=xl/sharedStrings.xml><?xml version="1.0" encoding="utf-8"?>
<sst xmlns="http://schemas.openxmlformats.org/spreadsheetml/2006/main" count="898" uniqueCount="274">
  <si>
    <t>Tutkimusryhmä</t>
  </si>
  <si>
    <t>Kiinteistökohtainen erilliskeräys</t>
  </si>
  <si>
    <t>Asukasmäärä (hlö)</t>
  </si>
  <si>
    <t>Osuus väestöstä (%)</t>
  </si>
  <si>
    <t>Huoneistojen määrä (kpl)</t>
  </si>
  <si>
    <t>Asukasta/huoneisto</t>
  </si>
  <si>
    <t>1 huoneiston kiinteistöt</t>
  </si>
  <si>
    <t>sekajäte</t>
  </si>
  <si>
    <t>1 huoneisto</t>
  </si>
  <si>
    <t>Yli 19 huoneiston kiinteistöt</t>
  </si>
  <si>
    <t>Yli 19 huoneistoa</t>
  </si>
  <si>
    <t>Yhteensä /keskimäärin</t>
  </si>
  <si>
    <t>Toteutuneen otoksen asukasmäärä</t>
  </si>
  <si>
    <t>Suunniteltu huoneistomäärä (kpl)</t>
  </si>
  <si>
    <t>Toteutunut huoneistomäärä (kpl)</t>
  </si>
  <si>
    <t>Muu paperi</t>
  </si>
  <si>
    <t>Kunta</t>
  </si>
  <si>
    <t>Helsinki</t>
  </si>
  <si>
    <t>2.3</t>
  </si>
  <si>
    <t>2.0</t>
  </si>
  <si>
    <t>2.7</t>
  </si>
  <si>
    <t>2.6</t>
  </si>
  <si>
    <t>1.9</t>
  </si>
  <si>
    <t>2.2</t>
  </si>
  <si>
    <t>2.5</t>
  </si>
  <si>
    <t>2.8</t>
  </si>
  <si>
    <t>3.0</t>
  </si>
  <si>
    <t>Espoo</t>
  </si>
  <si>
    <t>2.4</t>
  </si>
  <si>
    <t>2.9</t>
  </si>
  <si>
    <t>Vantaa</t>
  </si>
  <si>
    <t>Kauniainen</t>
  </si>
  <si>
    <t>2 - 4 huoneiston kiinteistöt</t>
  </si>
  <si>
    <t>1.5</t>
  </si>
  <si>
    <t>2.1</t>
  </si>
  <si>
    <t>5 - 9 huoneiston kiinteistöt</t>
  </si>
  <si>
    <t>1.7</t>
  </si>
  <si>
    <t>1.3</t>
  </si>
  <si>
    <t>10 - 19 huoneiston kiinteistöt</t>
  </si>
  <si>
    <t>1.8</t>
  </si>
  <si>
    <t>1.6</t>
  </si>
  <si>
    <t>1.4</t>
  </si>
  <si>
    <t>1 huoneiston kiintiestöt</t>
  </si>
  <si>
    <t>Keskimääräinen (painotettu)</t>
  </si>
  <si>
    <t xml:space="preserve">P-arvo </t>
  </si>
  <si>
    <t>(kg/as)/a</t>
  </si>
  <si>
    <t>Keski-hajonta</t>
  </si>
  <si>
    <t>Luotta-musväli +/- (kg)</t>
  </si>
  <si>
    <t>*tilastollisesti merkitsevä ero tutkimusryhmien välillä
** tilastollisesti erittäin merkitsevä eri tutkimusryhien välillä</t>
  </si>
  <si>
    <t xml:space="preserve">1. Biojäte </t>
  </si>
  <si>
    <r>
      <t>1.1 Keittiöjäte</t>
    </r>
    <r>
      <rPr>
        <i/>
        <sz val="10"/>
        <color indexed="8"/>
        <rFont val="Calibri"/>
        <family val="2"/>
        <scheme val="minor"/>
      </rPr>
      <t xml:space="preserve"> yhteensä</t>
    </r>
  </si>
  <si>
    <t>1.1.1 Ruokahävikki</t>
  </si>
  <si>
    <t>1.1.2 Muu keittiöjäte</t>
  </si>
  <si>
    <t>*</t>
  </si>
  <si>
    <r>
      <t>1.2 Puutarhajäte</t>
    </r>
    <r>
      <rPr>
        <i/>
        <sz val="10"/>
        <color indexed="8"/>
        <rFont val="Calibri"/>
        <family val="2"/>
        <scheme val="minor"/>
      </rPr>
      <t xml:space="preserve"> yhteensä</t>
    </r>
  </si>
  <si>
    <t>1.2.1 Risut ja oksat</t>
  </si>
  <si>
    <t>**</t>
  </si>
  <si>
    <t>1.2.2 Puutarhaomenat</t>
  </si>
  <si>
    <t>1.2.3 Muu puutarhajäte</t>
  </si>
  <si>
    <t xml:space="preserve">1.3 Muu biojäte </t>
  </si>
  <si>
    <t>Biojäte yht.</t>
  </si>
  <si>
    <t>2. Paperi</t>
  </si>
  <si>
    <t>2.1 Paperipakkaukset</t>
  </si>
  <si>
    <t>2.2 Pehmopaperi</t>
  </si>
  <si>
    <t>2.3 Muu paperi</t>
  </si>
  <si>
    <t>2.3.1 Tuottajavastuun alainen keräyspaperi</t>
  </si>
  <si>
    <t>2.3.2 Muu paperi</t>
  </si>
  <si>
    <t>Paperi yht.</t>
  </si>
  <si>
    <t>3. Kartonki ja pahvi</t>
  </si>
  <si>
    <t xml:space="preserve">3.1 Kartonkipakkaukset </t>
  </si>
  <si>
    <t>3.1.1 Alumiinipinnoitetut kartonkitölkit</t>
  </si>
  <si>
    <t>3.1.2 Muut kartonkipakkaukset</t>
  </si>
  <si>
    <t xml:space="preserve">3.2 Pahvipakkaukset </t>
  </si>
  <si>
    <t xml:space="preserve">3.3 Muu kartonki ja pahvi </t>
  </si>
  <si>
    <t>Kartonki ja pahvi yht.</t>
  </si>
  <si>
    <t>4. Puu</t>
  </si>
  <si>
    <t>4.1 Puupakkaukset</t>
  </si>
  <si>
    <t>4.2 Kyllästetty puu*</t>
  </si>
  <si>
    <t>4.3 Muu puu</t>
  </si>
  <si>
    <t>4.3.1 Rakennus- ja purkupuu</t>
  </si>
  <si>
    <t>4.3.2 Muu puu</t>
  </si>
  <si>
    <t>Puu yht.</t>
  </si>
  <si>
    <t>5. Muovit</t>
  </si>
  <si>
    <r>
      <t>5.1 Muovipakkaukset</t>
    </r>
    <r>
      <rPr>
        <i/>
        <sz val="10"/>
        <rFont val="Calibri"/>
        <family val="2"/>
        <scheme val="minor"/>
      </rPr>
      <t xml:space="preserve"> yhteensä</t>
    </r>
  </si>
  <si>
    <t>5.1.1 Kovamuovipakkaukset</t>
  </si>
  <si>
    <t>5.1.2 Kalvomuovipakkaukset</t>
  </si>
  <si>
    <r>
      <t>5.2 Muu muovi</t>
    </r>
    <r>
      <rPr>
        <i/>
        <sz val="10"/>
        <color indexed="8"/>
        <rFont val="Calibri"/>
        <family val="2"/>
        <scheme val="minor"/>
      </rPr>
      <t xml:space="preserve"> yhteensä</t>
    </r>
  </si>
  <si>
    <t>5.2.1 Muu kovamuovi</t>
  </si>
  <si>
    <t>5.2.2 Muu kalvomuovi</t>
  </si>
  <si>
    <t>Muovit yht.</t>
  </si>
  <si>
    <t>6. Lasi</t>
  </si>
  <si>
    <t>6.1 Lasipakkaukset</t>
  </si>
  <si>
    <t>6.2 Muu lasi</t>
  </si>
  <si>
    <t>Lasi yht.</t>
  </si>
  <si>
    <t>7. Metalli</t>
  </si>
  <si>
    <t>7.1 Metallipakkaukset</t>
  </si>
  <si>
    <t>7.1.1 Alumiinipakkaukset</t>
  </si>
  <si>
    <t>7.1.2 Muut metallipakkaukset</t>
  </si>
  <si>
    <t>7.2 Muu metalli</t>
  </si>
  <si>
    <t>Metalli yht.</t>
  </si>
  <si>
    <t>8. Tekstiilit ja jalkineet</t>
  </si>
  <si>
    <t>8.1 Jalkineet ja laukut</t>
  </si>
  <si>
    <t>8.2.2 Muut tekstiilit</t>
  </si>
  <si>
    <t>Tekstiilit ja jalkineet  yht.</t>
  </si>
  <si>
    <t>9. Sähkölaitteet ja akut</t>
  </si>
  <si>
    <t>9.1 Sähkölaitteet</t>
  </si>
  <si>
    <t>9.1.1 Loisteputki-, energiansäästö- ja LED-lamput*</t>
  </si>
  <si>
    <t>9.1.2 Muut sähkölaitteet</t>
  </si>
  <si>
    <t>9.2 Paristot ja pienakut*</t>
  </si>
  <si>
    <t>9.3 Ajoneuvoakut*</t>
  </si>
  <si>
    <t>Sähkölaitteet ja akut yht.</t>
  </si>
  <si>
    <t xml:space="preserve">10. Vaaralliset kemikaalit* </t>
  </si>
  <si>
    <t>10.1 Lääkkeet*</t>
  </si>
  <si>
    <t>10.2 Muut vaaralliset kemikaalit*</t>
  </si>
  <si>
    <t>Vaaralliset kemikaalit yht.</t>
  </si>
  <si>
    <t>11. Sekalaiset jätteet</t>
  </si>
  <si>
    <t>11.1 Sekalaiset pakkaukset</t>
  </si>
  <si>
    <t>11.2 Vaipat ja siteet</t>
  </si>
  <si>
    <t>11.3 Muut sekalaiset jätteet</t>
  </si>
  <si>
    <t>11.3.1 Muut polttokelpoiset jätteet</t>
  </si>
  <si>
    <t>11.3.2 Kiviainekset</t>
  </si>
  <si>
    <t>11.3.3 Muut polttokelvottomat jätteet</t>
  </si>
  <si>
    <t>Sekalaiset jätteet yht.</t>
  </si>
  <si>
    <t>Yhteismassa (kg)</t>
  </si>
  <si>
    <t xml:space="preserve">* vaarallista jätettä </t>
  </si>
  <si>
    <t>Osuus (%)</t>
  </si>
  <si>
    <t>Variaatio-kerroin</t>
  </si>
  <si>
    <t>Luotta-musväli +/- (%)</t>
  </si>
  <si>
    <t>1.1 Keittiöjäte</t>
  </si>
  <si>
    <t>1.2 Puutarhajäte</t>
  </si>
  <si>
    <t>5.1 Muovipakkaukset</t>
  </si>
  <si>
    <t>5.2 Muu muovi</t>
  </si>
  <si>
    <t>8.2 Muut tekstiilit</t>
  </si>
  <si>
    <t>10. Vaaralliset kemikaalit*</t>
  </si>
  <si>
    <t>188 590 </t>
  </si>
  <si>
    <t>Taulukko 1. HSY:n asiakaskiinteistöiltä kuljetettu sekajäte (t/v). (Lähde HSY:n raportointijärjestelmä)</t>
  </si>
  <si>
    <t>2–4 huoneiston kiinteistöt</t>
  </si>
  <si>
    <t>5–9 huoneiston kiinteistöt</t>
  </si>
  <si>
    <t>sekajäte, biojäte, kartonkipakkaukset, pienmetalli, lasipakkaukset, muovipakkaukset (ja paperi)</t>
  </si>
  <si>
    <t>10–19 huoneiston kiinteistöt</t>
  </si>
  <si>
    <t>Taulukko 2. Tutkimusryhmät ja jätteiden erilliskeräysvelvoitteet vuonna 2021</t>
  </si>
  <si>
    <t>2–4 huoneistoa</t>
  </si>
  <si>
    <t>5–9 huoneistoa</t>
  </si>
  <si>
    <t>10–19 huoneistoa</t>
  </si>
  <si>
    <t>1 159 228</t>
  </si>
  <si>
    <t>646 553</t>
  </si>
  <si>
    <t>Taulukko 3. Asukas- ja huoneistomäärät tutkimusryhmittäin vuonna 2021. [HSY, SeutuData 2021]</t>
  </si>
  <si>
    <t>Näytemäärä</t>
  </si>
  <si>
    <t>Taulukko 4. Näytemäärät tutkimusryhmittäin ja toteutuneen otoksen asukasmäärä</t>
  </si>
  <si>
    <t>Taulukko 5.  Koostumustutkimukseen suunniteltu ja toteutunut huoneistomäärä kiinteistöryhmittäin</t>
  </si>
  <si>
    <t>Kuva 1. HSY:n kuljettaman sekajätteen määrä vuosittain eri kuukausina. [HSY:n raportointijärjestelmä]</t>
  </si>
  <si>
    <t xml:space="preserve">Kuva 3. Kaaviokuva näytteenotosta </t>
  </si>
  <si>
    <t xml:space="preserve">Kuva 6. Pääkaupunkiseudun kotitalouksien sekajätteen määrä jätejakeittain vuonna 2021 eri tutkimusryhmissä ja keskimäärin. </t>
  </si>
  <si>
    <t xml:space="preserve">Kuva 7. Pääkaupunkiseudun kotitalouksien sekajätteen jakautuminen eri jätejaeryhmiin painoprosentteina eri tutkimusryhmissä ja keskimäärin vuonna 2021. </t>
  </si>
  <si>
    <t>Kuva 8. Pääkaupunkiseudun kotitalouksien sekajätteen jakautuminen eri jätejakeisiin (%) vuonna 2021</t>
  </si>
  <si>
    <t>Kuva 9. Pääkaupunkiseudun kotitalouksien sekajäte 2021</t>
  </si>
  <si>
    <t>1. BIOJÄTE</t>
  </si>
  <si>
    <t>Ruoantähteet, Kuivuneet ja pilaantuneet elintarvikkeet</t>
  </si>
  <si>
    <t>Hedelmien, vihannesten, juuresten kuoret, Kananmunien kuoret
Marjojen, hedelmien ja vihannesten perkuujätteet
Kalan perkuujätteet, luut, Kahvin ja teen porot suodatinpapereineen</t>
  </si>
  <si>
    <t>Oksat, risut, rangat (alle ranteenpaksuiset)
Pensaat, tuohi, havut, kävyt</t>
  </si>
  <si>
    <t>1.2.2 Omenat</t>
  </si>
  <si>
    <t>Omenat pihoilta</t>
  </si>
  <si>
    <t xml:space="preserve">Puiden ja pensaiden lehdet, Nurmikon leikkuutähteet
Kuihtuneet kukat, Kukkamulta </t>
  </si>
  <si>
    <t>1.3 Muu biojäte</t>
  </si>
  <si>
    <t>Lemmikkien purut, kuolleet eläimet</t>
  </si>
  <si>
    <t>2. PAPERI</t>
  </si>
  <si>
    <t>Paperipussit, -kassit ja -säkit (esim. paperiset perunalastupussit, näkkileipäpaketit, leipäpussit)
Elintarvikkeiden ym. käärepaperit (esim. fazerin sinisen kääre)</t>
  </si>
  <si>
    <t>2.2 Pehmopaperit</t>
  </si>
  <si>
    <t>Paperinenäliinat, talouspaperi
Käsipyyhkeet (paperiset), wc-paperi, servetit</t>
  </si>
  <si>
    <t>2.3.1 Tuottajavastuun alainen 
keräyspaperi</t>
  </si>
  <si>
    <t>"Postiluukusta tullut paperi" (esim. sanoma- ja aikakauslehdet, mainosposti, kirjekuoret,  puhelinluettelot, postimyyntiluettelot)
Kirjoitus- ja kopiopaperi, Kirjat</t>
  </si>
  <si>
    <t>Piirustus- ja askartelupaperit, Muistilaput, kuitit
Lahjapaperit, Paperiset tapetit</t>
  </si>
  <si>
    <t>3. KARTONKI JA PAHVI</t>
  </si>
  <si>
    <t>3.1 Kartonkipakkaukset</t>
  </si>
  <si>
    <t>3.1.1 Alumiinipinnoitetut 
kartonkitölkit</t>
  </si>
  <si>
    <t>Alumiinivuoratut kartonkiset maito-, mehu-, kerma-, piimä-, jogurtti-, viini- ja pesuainetölkit
Perunalastuputkilot</t>
  </si>
  <si>
    <t>Kartonkiset maito-, mehu-, kerma-, piimä-, jogurtti, viini- ja pesuainetölkit 
Muro, keksi- ja makeispaketit, muna- ja hedelmäkennot
Wc- ja talouspaperihylsyt, Juomien kartonkiset monipakkaukset (sixpackit ym.)
Take away kartonkiset kertakäyttöastiat (ml. pillit)</t>
  </si>
  <si>
    <t>3.2. Pahvipakkaukset</t>
  </si>
  <si>
    <t>Pahvilaatikot, myös esim pizzalaatikot</t>
  </si>
  <si>
    <t>3.3 Muu kartonki ja pahvi</t>
  </si>
  <si>
    <t>Kartonkiset kertakäyttöastiat
Askartelukartongit, lehtiöiden taustapahvit
Aaltopahvi. Pahvitaulut, Pelilaudat, Palapelit</t>
  </si>
  <si>
    <t>4. PUU</t>
  </si>
  <si>
    <t>Puiset kuormalavat, Puulaatikot, jäätelötikut</t>
  </si>
  <si>
    <t>4.2 Kyllästetty puu</t>
  </si>
  <si>
    <t xml:space="preserve">Kyllästettty puutavara ja siitä valmistetut ulkokalusteet yms. </t>
  </si>
  <si>
    <t>Laudat, lankut, Puurakenteet kuten ovet 
Maalattu tai lakattu puu, Pinnoitettu puu (melamiini), parketti
Lastulevy, kimpilevy, vaneri, kovalevy</t>
  </si>
  <si>
    <t>Puulelut ja -palikat, puiset henkarit
Yli ranteenpaksuiset oksat ja rungot, Kannot
Huonekalut, kalusteet, Lastut, Sahanpuru</t>
  </si>
  <si>
    <t>5. MUOVI</t>
  </si>
  <si>
    <t>Muovipullot, -astiat ja -kanisterit, esim. tyhjät öljy- ja pakkasnestepullot, pesuainepullot
Elintarvikkeiden pakkausmuovit esim.viili- ja jogurttipurkit, voi- ja margariinirasiat
Muoviset deodoranttipurkit, kosmetiikkapullot
Take away ruokapakkaukset (ml. muovipillit)
Styroxpakkaukset, -pakkaustuet, grilliruokakotelot
Muovikotelot ja -rasiat (esim. jauhelihapaketit), Muovikannet ja korkit</t>
  </si>
  <si>
    <t>Muovipussit, -kassit ja -säkit
Pakkausmuovit (esim. pakastevihannes- ja muropussit, muoviset karkkikääreet)
Sipsipussit</t>
  </si>
  <si>
    <t>5. 2.1 Muu kovamuovi</t>
  </si>
  <si>
    <t>Muovisangot, Styroxeristeet ja -esineet, Pienet muoviesineet esim. kynien muovikuoret
Tiskiharjat, Hammasharjat, Muoviset huonekalut, Muoviset kertakäyttöastiat (kaupasta puhtaana ostetut)
Disketit, videokasetit, Putket, Vinyyliäänilevyt
Muoviritilät, Mapit, Muoviset lattiapäällysteet, muovimatot. Kovamuoviset lelut
Muoviset rakennusmateriaalit (esim. sadevesikourut, puujäljitelmäulkopaneelit, listoitukset, asennusrimat, kattokourut)</t>
  </si>
  <si>
    <t>Muovikelmut, Pakkausteipit
Muovitaskut, kontaktimuovi, Muoviset tapetit
Puhallettavat lelut, Muoviset suihkuverhot
Muoviset biojätepussit</t>
  </si>
  <si>
    <t>6. LASI</t>
  </si>
  <si>
    <t>Lasipurkit ja -pullot (täytenä ostetut)</t>
  </si>
  <si>
    <t>6. 2 Muu lasi</t>
  </si>
  <si>
    <t>Lasiastiat, juomalasit
Tasolasi, ikkunlasi, koristelasi
Kuumuuden kestävä lasi (uunivuoka, uunin luukun lasi, Pyrex), lämpölasi
Autonlasi, lankavahvisteinen lasi, peilit</t>
  </si>
  <si>
    <t>7. METALLI</t>
  </si>
  <si>
    <t>Juomatölkit, Foliopakkaukset
Margariinipakettien välikannet, Alumiiniset ruokapakkaukset</t>
  </si>
  <si>
    <t>Säilyketölkit, Lasipurkkien metalliset kannet
Tyhjät maalipurkit, Tyhjät aerosolipakkaukset</t>
  </si>
  <si>
    <t>Metalliset huonekalujen osat, Avaimet
Työkalut, pultit, naulat, Pyörien lukot, Paperiliittimet
Ruokailuvälineet, Rautatangot, Kattilat, Kolikot</t>
  </si>
  <si>
    <t>8. TEKSTIILIT</t>
  </si>
  <si>
    <t>8.2.1 Poistotekstiilit</t>
  </si>
  <si>
    <t>LSJH:n mukainen poistotekstiilien lajittelu
Vaatteet ja kodintekstiilit, kuten:
Takit, housut, hameet, paidat, kaulahuivit, lakanat pyyhkeet, pöytäliinat, verhot, kankaat</t>
  </si>
  <si>
    <t>Kaikki muu sellainen tekstiili, mikä ei kelpaa LSJH:n poistotekstiilikeräykseen, kuten:
Alusvaatteet, sukat ja sukkahousut
Uimapuvut
Matot
Peitot ja tyynyt
Pehmolelut
Kangasnauhat- ja narut 
nahkavaatteet</t>
  </si>
  <si>
    <t>9. SÄHKÖLAITTEET JA AKUT</t>
  </si>
  <si>
    <t>9.1.1 Loisteputki-, energiansäästö- 
ja LED-lamput</t>
  </si>
  <si>
    <t>Loisteputket, Pienloistelamput, Energiansäästölamput, LED-lamput</t>
  </si>
  <si>
    <t>Kodinkoneet, Tietokoneiden näytöt, näppäimistöt, keskusyksiköt
Kaiuttimet, Televisiot, radiot, DVD-soittimet, Kamerat
Puhelimet, laturit, Sähköiset lelut, Sähköjohdot, Sähkötyökalut
Laitteiden osat, Valaisimet, taskulamput
Paloilmaisimet, termostaatit</t>
  </si>
  <si>
    <t>9.2 Paristot ja pienakut</t>
  </si>
  <si>
    <t>Kertakäyttöiset ja ladattavat paristot ja sähkölaitteiden akut</t>
  </si>
  <si>
    <t>9.3 Ajoneuvoakut</t>
  </si>
  <si>
    <t>10. VAARALLISET KEMIKAALIT</t>
  </si>
  <si>
    <t>10.1 Lääkkeet</t>
  </si>
  <si>
    <t>10.2 Muut vaaralliset 
kemikaalit</t>
  </si>
  <si>
    <t>Öljyt
Jäähdytin-, kytkin- ja jarrunesteet, moottorinpesunesteet
Torjunta- ja desinfiointiaineet
Emäkset, hapot, ohenteet
Liuottimet kuten tärpätti, tinneri, asetoni ja liuotinpitoiset pesuaineet
Ei-tyhjät aerosolipakkaukset
Kynsilakka, kynsilakan poistoaine
Maalit, lakat, liimat, hartsit
Valokuvauskemikaalit
Värjäyskemikaalit
Puhdistusaineet
Puunsuoja- ja kyllästysaineet
Myrkyt
Eristemassat, kitit, tasoitteet
Silikoni, vahat (ei kosmetiikkavahat)</t>
  </si>
  <si>
    <t>11. SEKALAISET JÄTTEET</t>
  </si>
  <si>
    <t>11.1 Sekalaiset   pakkaukset</t>
  </si>
  <si>
    <t>Vaikeasti eroteltavat sekamateriaalipakkaukset (esim. sätkäpussit, tyhjät lääketablettien läpilyöntilevyt) 
Alumiinipaperia ja –muovia sisältävät</t>
  </si>
  <si>
    <t>Vaipat, kuukautissiteet, tamponit</t>
  </si>
  <si>
    <t>11.3.1 Muut polttokelpoiset
jätteet</t>
  </si>
  <si>
    <t xml:space="preserve">Sohvanpäälliset
Matot
Nauhat, narut
Kankaiset kosteuspyyhkeet (wipes)
Kumi
</t>
  </si>
  <si>
    <t>Kivet, hiekka, sora, tiili, betoni, keramiikka ja posliini (kahvikupit, lautaset, kulhot, koriste-esineet, sulakkeet ym.), kaakelit, savi</t>
  </si>
  <si>
    <t>Polttokelvottomat vaikeasti eroteltavat sekamateriaaliesineet (esim. hehkulamput, sateenvarjot)
Tuhka
Lasivilla
Kipsilevy</t>
  </si>
  <si>
    <t>11.3.4 Koronajätteet</t>
  </si>
  <si>
    <t>Kasvomaskit</t>
  </si>
  <si>
    <t>Vihreällä pohjalla tutkimukseen valitut urakka-alueet</t>
  </si>
  <si>
    <t>1 asunnon kiinteistöt</t>
  </si>
  <si>
    <t>Urakka-alue</t>
  </si>
  <si>
    <t>Huoneistoja</t>
  </si>
  <si>
    <t>Asukasmäärä</t>
  </si>
  <si>
    <t>0-4 v</t>
  </si>
  <si>
    <t>5-14 v</t>
  </si>
  <si>
    <t>15-29 v</t>
  </si>
  <si>
    <t>30-44 v</t>
  </si>
  <si>
    <t>45-64 v</t>
  </si>
  <si>
    <t>Yli 65 v</t>
  </si>
  <si>
    <t>hlö</t>
  </si>
  <si>
    <t>%</t>
  </si>
  <si>
    <t>3.6</t>
  </si>
  <si>
    <t>2-4 asunnon kiinteistöt</t>
  </si>
  <si>
    <t>7.4</t>
  </si>
  <si>
    <t>5-9 asunnon kiinteistöt</t>
  </si>
  <si>
    <t>1.1</t>
  </si>
  <si>
    <t>10-19 asunnon kiinteistöt</t>
  </si>
  <si>
    <t>Vähintään 20 asunnon kiinteistöt</t>
  </si>
  <si>
    <t>Liite 2. Urakka-alueet ja ikäjakaumat</t>
  </si>
  <si>
    <t>Kuva 5. Sekajätteen määrä asukasta kohden vuodessa eri vuosina ja eri tutkimusryhmissä (keskimäärin painotettuna). </t>
  </si>
  <si>
    <t>Kuva 10. Kotitalouksien sekajätteen vertailu vuosina 2018 ja 2021 (painoprosentteina)</t>
  </si>
  <si>
    <t>Jätelaji</t>
  </si>
  <si>
    <t>kg/as/vuosi</t>
  </si>
  <si>
    <t>Biojäte</t>
  </si>
  <si>
    <t>Keittiöjäte</t>
  </si>
  <si>
    <t xml:space="preserve">Muu biojäte </t>
  </si>
  <si>
    <t>Paperi</t>
  </si>
  <si>
    <t>Pehmopaperi</t>
  </si>
  <si>
    <t>Keräyspaperi</t>
  </si>
  <si>
    <t>Keräyspahvi- ja kartonki</t>
  </si>
  <si>
    <t>Puu</t>
  </si>
  <si>
    <t>Muovit</t>
  </si>
  <si>
    <t>pakkausmuovit</t>
  </si>
  <si>
    <t>ei pakkausmuovit</t>
  </si>
  <si>
    <t>Lasi</t>
  </si>
  <si>
    <t>Metalli</t>
  </si>
  <si>
    <t>Tekstiilit ja jalkineet</t>
  </si>
  <si>
    <t>Sähkölaitteet ja akut</t>
  </si>
  <si>
    <t>Vaaralliset kemikaalit</t>
  </si>
  <si>
    <t>Sekalaiset jätteet</t>
  </si>
  <si>
    <t>Yhteensä</t>
  </si>
  <si>
    <t>Taulukko 6. Pääkaupunkiseudun kotitalouksien sekajätteen määrä (kg/as/a) eri jätejakeittain vuosina 2007, 2012, 2015, 2018 ja 2021</t>
  </si>
  <si>
    <t>Vuosi 2018 keskimäärin (kg/as)/a</t>
  </si>
  <si>
    <t>8.2.1 Poistotekstiili</t>
  </si>
  <si>
    <r>
      <t>8.2 Muut tekstiilit</t>
    </r>
    <r>
      <rPr>
        <i/>
        <sz val="10"/>
        <color indexed="8"/>
        <rFont val="Calibri"/>
        <family val="2"/>
        <scheme val="minor"/>
      </rPr>
      <t xml:space="preserve"> </t>
    </r>
  </si>
  <si>
    <t xml:space="preserve">(kg/as)/a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</si>
</sst>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5" formatCode="0.000"/>
    <numFmt numFmtId="166" formatCode="0.0000"/>
    <numFmt numFmtId="167" formatCode="0.0%"/>
    <numFmt numFmtId="168" formatCode="0.0"/>
    <numFmt numFmtId="169" formatCode="0.0\ %"/>
  </numFmts>
  <fonts count="18" x14ac:knownFonts="1">
    <font>
      <sz val="11"/>
      <color theme="1"/>
      <name val="Calibri"/>
      <family val="2"/>
      <scheme val="minor"/>
    </font>
    <font>
      <sz val="11"/>
      <color theme="1"/>
      <name val="Calibri"/>
      <family val="2"/>
      <scheme val="minor"/>
    </font>
    <font>
      <sz val="10"/>
      <color theme="1"/>
      <name val="Calibri"/>
      <family val="2"/>
      <scheme val="minor"/>
    </font>
    <font>
      <sz val="10"/>
      <color indexed="8"/>
      <name val="Arial"/>
      <family val="2"/>
      <charset val="238"/>
    </font>
    <font>
      <sz val="10"/>
      <color indexed="8"/>
      <name val="Calibri"/>
      <family val="2"/>
      <scheme val="minor"/>
    </font>
    <font>
      <i/>
      <sz val="10"/>
      <color indexed="8"/>
      <name val="Calibri"/>
      <family val="2"/>
      <scheme val="minor"/>
    </font>
    <font>
      <i/>
      <sz val="10"/>
      <name val="Calibri"/>
      <family val="2"/>
    </font>
    <font>
      <sz val="10"/>
      <name val="Calibri"/>
      <family val="2"/>
      <scheme val="minor"/>
    </font>
    <font>
      <b/>
      <sz val="10"/>
      <name val="Calibri"/>
      <family val="2"/>
      <scheme val="minor"/>
    </font>
    <font>
      <sz val="10"/>
      <name val="Arial"/>
      <family val="2"/>
      <charset val="238"/>
    </font>
    <font>
      <i/>
      <sz val="10"/>
      <name val="Calibri"/>
      <family val="2"/>
      <scheme val="minor"/>
    </font>
    <font>
      <sz val="10"/>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1"/>
      <name val="Calibri"/>
      <family val="2"/>
    </font>
    <font>
      <sz val="11"/>
      <name val="Calibri"/>
      <family val="2"/>
    </font>
    <font>
      <b/>
      <sz val="16"/>
      <name val="Calibri"/>
      <family val="2"/>
    </font>
  </fonts>
  <fills count="1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6"/>
        <bgColor indexed="64"/>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bottom style="double">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rgb="FFB2B2B2"/>
      </left>
      <right/>
      <top style="thin">
        <color rgb="FFB2B2B2"/>
      </top>
      <bottom style="medium">
        <color indexed="64"/>
      </bottom>
      <diagonal/>
    </border>
    <border>
      <left/>
      <right/>
      <top style="thin">
        <color rgb="FFB2B2B2"/>
      </top>
      <bottom style="medium">
        <color indexed="64"/>
      </bottom>
      <diagonal/>
    </border>
    <border>
      <left/>
      <right style="thin">
        <color rgb="FFB2B2B2"/>
      </right>
      <top style="thin">
        <color rgb="FFB2B2B2"/>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thin">
        <color indexed="64"/>
      </top>
      <bottom/>
      <diagonal/>
    </border>
  </borders>
  <cellStyleXfs count="6">
    <xf numFmtId="0" fontId="0" fillId="0" borderId="0"/>
    <xf numFmtId="9" fontId="1" fillId="0" borderId="0" applyFont="0" applyFill="0" applyBorder="0" applyAlignment="0" applyProtection="0"/>
    <xf numFmtId="0" fontId="1" fillId="0" borderId="0"/>
    <xf numFmtId="0" fontId="3" fillId="0" borderId="0"/>
    <xf numFmtId="0" fontId="4" fillId="2" borderId="0" applyFont="0" applyAlignment="0">
      <alignment wrapText="1"/>
    </xf>
    <xf numFmtId="0" fontId="1" fillId="12" borderId="46" applyNumberFormat="0" applyFont="0" applyAlignment="0" applyProtection="0"/>
  </cellStyleXfs>
  <cellXfs count="337">
    <xf numFmtId="0" fontId="0" fillId="0" borderId="0" xfId="0"/>
    <xf numFmtId="0" fontId="0" fillId="4" borderId="2" xfId="0" applyFill="1" applyBorder="1"/>
    <xf numFmtId="0" fontId="0" fillId="4" borderId="3" xfId="0" applyFill="1" applyBorder="1"/>
    <xf numFmtId="0" fontId="0" fillId="4" borderId="4" xfId="0" applyFill="1" applyBorder="1"/>
    <xf numFmtId="0" fontId="0" fillId="0" borderId="6" xfId="0" applyFill="1" applyBorder="1" applyAlignment="1">
      <alignment wrapText="1"/>
    </xf>
    <xf numFmtId="0" fontId="0" fillId="4" borderId="7" xfId="0" applyFill="1" applyBorder="1"/>
    <xf numFmtId="0" fontId="0" fillId="4" borderId="1" xfId="0" applyFill="1" applyBorder="1" applyAlignment="1">
      <alignment wrapText="1"/>
    </xf>
    <xf numFmtId="0" fontId="0" fillId="4" borderId="8" xfId="0" applyFill="1" applyBorder="1" applyAlignment="1">
      <alignment wrapText="1"/>
    </xf>
    <xf numFmtId="0" fontId="0" fillId="4" borderId="7" xfId="0" applyFill="1" applyBorder="1" applyAlignment="1">
      <alignment wrapText="1"/>
    </xf>
    <xf numFmtId="0" fontId="0" fillId="5" borderId="5" xfId="0" applyFill="1" applyBorder="1" applyAlignment="1">
      <alignment horizontal="center" wrapText="1"/>
    </xf>
    <xf numFmtId="0" fontId="2" fillId="6" borderId="12" xfId="2" applyFont="1" applyFill="1" applyBorder="1" applyAlignment="1">
      <alignment horizontal="left" vertical="center"/>
    </xf>
    <xf numFmtId="0" fontId="2" fillId="6" borderId="13" xfId="2" applyFont="1" applyFill="1" applyBorder="1" applyAlignment="1">
      <alignment horizontal="left" vertical="center"/>
    </xf>
    <xf numFmtId="0" fontId="0" fillId="0" borderId="7" xfId="0" applyBorder="1"/>
    <xf numFmtId="0" fontId="0" fillId="0" borderId="1" xfId="0" applyBorder="1"/>
    <xf numFmtId="0" fontId="0" fillId="0" borderId="8" xfId="0" applyBorder="1"/>
    <xf numFmtId="49" fontId="0" fillId="0" borderId="7" xfId="0" applyNumberFormat="1" applyBorder="1"/>
    <xf numFmtId="0" fontId="0" fillId="0" borderId="11" xfId="0" applyBorder="1"/>
    <xf numFmtId="0" fontId="0" fillId="0" borderId="10" xfId="0" applyBorder="1"/>
    <xf numFmtId="49" fontId="0" fillId="7" borderId="9" xfId="0" applyNumberFormat="1" applyFill="1" applyBorder="1" applyAlignment="1">
      <alignment horizontal="center"/>
    </xf>
    <xf numFmtId="0" fontId="0" fillId="2" borderId="14" xfId="0" applyFill="1" applyBorder="1"/>
    <xf numFmtId="0" fontId="4" fillId="8" borderId="1" xfId="3" applyFont="1" applyFill="1" applyBorder="1" applyAlignment="1">
      <alignment horizontal="left" vertical="center"/>
    </xf>
    <xf numFmtId="0" fontId="4" fillId="8" borderId="15" xfId="3" applyFont="1" applyFill="1" applyBorder="1" applyAlignment="1">
      <alignment horizontal="left" vertical="center"/>
    </xf>
    <xf numFmtId="2" fontId="6" fillId="9" borderId="7" xfId="0" applyNumberFormat="1" applyFont="1" applyFill="1" applyBorder="1"/>
    <xf numFmtId="2" fontId="6" fillId="9" borderId="1" xfId="0" applyNumberFormat="1" applyFont="1" applyFill="1" applyBorder="1"/>
    <xf numFmtId="2" fontId="6" fillId="9" borderId="8" xfId="0" applyNumberFormat="1" applyFont="1" applyFill="1" applyBorder="1"/>
    <xf numFmtId="2" fontId="6" fillId="9" borderId="11" xfId="0" applyNumberFormat="1" applyFont="1" applyFill="1" applyBorder="1"/>
    <xf numFmtId="0" fontId="6" fillId="9" borderId="10" xfId="0" applyFont="1" applyFill="1" applyBorder="1"/>
    <xf numFmtId="0" fontId="0" fillId="2" borderId="0" xfId="0" applyFill="1" applyBorder="1"/>
    <xf numFmtId="0" fontId="4" fillId="8" borderId="8" xfId="3" applyFont="1" applyFill="1" applyBorder="1" applyAlignment="1">
      <alignment horizontal="left" vertical="center"/>
    </xf>
    <xf numFmtId="2" fontId="0" fillId="0" borderId="7" xfId="0" applyNumberFormat="1" applyBorder="1"/>
    <xf numFmtId="2" fontId="0" fillId="0" borderId="1" xfId="0" applyNumberFormat="1" applyBorder="1"/>
    <xf numFmtId="2" fontId="0" fillId="0" borderId="8" xfId="0" applyNumberFormat="1" applyBorder="1"/>
    <xf numFmtId="49" fontId="0" fillId="0" borderId="11" xfId="0" applyNumberFormat="1" applyBorder="1" applyAlignment="1">
      <alignment horizontal="right"/>
    </xf>
    <xf numFmtId="0" fontId="4" fillId="8" borderId="16" xfId="3" applyFont="1" applyFill="1" applyBorder="1" applyAlignment="1">
      <alignment horizontal="left" vertical="center"/>
    </xf>
    <xf numFmtId="0" fontId="7" fillId="2" borderId="0" xfId="3" applyFont="1" applyFill="1" applyBorder="1" applyAlignment="1">
      <alignment horizontal="left"/>
    </xf>
    <xf numFmtId="0" fontId="7" fillId="8" borderId="8" xfId="3" applyFont="1" applyFill="1" applyBorder="1" applyAlignment="1">
      <alignment horizontal="left"/>
    </xf>
    <xf numFmtId="165" fontId="0" fillId="0" borderId="11" xfId="0" applyNumberFormat="1" applyBorder="1"/>
    <xf numFmtId="2" fontId="0" fillId="0" borderId="11" xfId="0" applyNumberFormat="1" applyBorder="1"/>
    <xf numFmtId="0" fontId="0" fillId="2" borderId="17" xfId="0" applyFill="1" applyBorder="1"/>
    <xf numFmtId="0" fontId="4" fillId="8" borderId="18" xfId="4" applyFont="1" applyFill="1" applyBorder="1" applyAlignment="1"/>
    <xf numFmtId="0" fontId="4" fillId="8" borderId="19" xfId="4" applyFont="1" applyFill="1" applyBorder="1" applyAlignment="1"/>
    <xf numFmtId="2" fontId="0" fillId="0" borderId="20" xfId="0" applyNumberFormat="1" applyBorder="1"/>
    <xf numFmtId="2" fontId="0" fillId="0" borderId="18" xfId="0" applyNumberFormat="1" applyBorder="1"/>
    <xf numFmtId="2" fontId="0" fillId="0" borderId="21" xfId="0" applyNumberFormat="1" applyBorder="1"/>
    <xf numFmtId="2" fontId="0" fillId="0" borderId="22" xfId="0" applyNumberFormat="1" applyBorder="1"/>
    <xf numFmtId="2" fontId="0" fillId="0" borderId="23" xfId="0" applyNumberFormat="1" applyBorder="1"/>
    <xf numFmtId="0" fontId="0" fillId="0" borderId="24" xfId="0" applyBorder="1"/>
    <xf numFmtId="0" fontId="9" fillId="10" borderId="0" xfId="4" applyFont="1" applyFill="1" applyBorder="1" applyAlignment="1"/>
    <xf numFmtId="2" fontId="0" fillId="10" borderId="12" xfId="0" applyNumberFormat="1" applyFill="1" applyBorder="1"/>
    <xf numFmtId="2" fontId="0" fillId="10" borderId="25" xfId="0" applyNumberFormat="1" applyFill="1" applyBorder="1"/>
    <xf numFmtId="2" fontId="0" fillId="10" borderId="26" xfId="0" applyNumberFormat="1" applyFill="1" applyBorder="1"/>
    <xf numFmtId="2" fontId="0" fillId="10" borderId="27" xfId="0" applyNumberFormat="1" applyFill="1" applyBorder="1"/>
    <xf numFmtId="0" fontId="0" fillId="10" borderId="9" xfId="0" applyFill="1" applyBorder="1"/>
    <xf numFmtId="0" fontId="7" fillId="6" borderId="27" xfId="0" applyFont="1" applyFill="1" applyBorder="1" applyAlignment="1">
      <alignment vertical="center"/>
    </xf>
    <xf numFmtId="0" fontId="7" fillId="6" borderId="13" xfId="0" applyFont="1" applyFill="1" applyBorder="1" applyAlignment="1">
      <alignment vertical="center"/>
    </xf>
    <xf numFmtId="0" fontId="7" fillId="8" borderId="25" xfId="3" applyFont="1" applyFill="1" applyBorder="1" applyAlignment="1"/>
    <xf numFmtId="0" fontId="7" fillId="8" borderId="13" xfId="3" applyFont="1" applyFill="1" applyBorder="1" applyAlignment="1"/>
    <xf numFmtId="0" fontId="4" fillId="8" borderId="1" xfId="3" applyFont="1" applyFill="1" applyBorder="1" applyAlignment="1"/>
    <xf numFmtId="0" fontId="4" fillId="8" borderId="15" xfId="3" applyFont="1" applyFill="1" applyBorder="1" applyAlignment="1"/>
    <xf numFmtId="0" fontId="7" fillId="2" borderId="0" xfId="3" applyFont="1" applyFill="1" applyBorder="1" applyAlignment="1"/>
    <xf numFmtId="0" fontId="7" fillId="8" borderId="8" xfId="3" applyFont="1" applyFill="1" applyBorder="1" applyAlignment="1"/>
    <xf numFmtId="0" fontId="7" fillId="2" borderId="28" xfId="4" applyFont="1" applyFill="1" applyBorder="1" applyAlignment="1">
      <alignment vertical="center"/>
    </xf>
    <xf numFmtId="0" fontId="7" fillId="8" borderId="21" xfId="4" applyFont="1" applyFill="1" applyBorder="1" applyAlignment="1">
      <alignment vertical="center"/>
    </xf>
    <xf numFmtId="0" fontId="2" fillId="6" borderId="7" xfId="4" applyFont="1" applyFill="1" applyBorder="1" applyAlignment="1">
      <alignment vertical="center"/>
    </xf>
    <xf numFmtId="0" fontId="2" fillId="6" borderId="15" xfId="4" applyFont="1" applyFill="1" applyBorder="1" applyAlignment="1">
      <alignment vertical="center"/>
    </xf>
    <xf numFmtId="0" fontId="7" fillId="8" borderId="1" xfId="4" applyFont="1" applyFill="1" applyBorder="1" applyAlignment="1"/>
    <xf numFmtId="0" fontId="7" fillId="8" borderId="15" xfId="4" applyFont="1" applyFill="1" applyBorder="1" applyAlignment="1"/>
    <xf numFmtId="0" fontId="4" fillId="2" borderId="0" xfId="4" applyFont="1" applyFill="1" applyBorder="1" applyAlignment="1"/>
    <xf numFmtId="0" fontId="4" fillId="8" borderId="26" xfId="4" applyFont="1" applyFill="1" applyBorder="1" applyAlignment="1"/>
    <xf numFmtId="0" fontId="7" fillId="2" borderId="0" xfId="4" applyFont="1" applyFill="1" applyBorder="1" applyAlignment="1"/>
    <xf numFmtId="0" fontId="7" fillId="8" borderId="16" xfId="4" applyFont="1" applyFill="1" applyBorder="1" applyAlignment="1"/>
    <xf numFmtId="0" fontId="4" fillId="8" borderId="1" xfId="4" applyFont="1" applyFill="1" applyBorder="1" applyAlignment="1"/>
    <xf numFmtId="0" fontId="4" fillId="8" borderId="15" xfId="4" applyFont="1" applyFill="1" applyBorder="1" applyAlignment="1"/>
    <xf numFmtId="0" fontId="2" fillId="6" borderId="11" xfId="4" applyFont="1" applyFill="1" applyBorder="1" applyAlignment="1">
      <alignment vertical="center"/>
    </xf>
    <xf numFmtId="0" fontId="7" fillId="8" borderId="25" xfId="4" applyFont="1" applyFill="1" applyBorder="1" applyAlignment="1"/>
    <xf numFmtId="0" fontId="7" fillId="8" borderId="13" xfId="4" applyFont="1" applyFill="1" applyBorder="1" applyAlignment="1"/>
    <xf numFmtId="0" fontId="2" fillId="8" borderId="1" xfId="4" applyFont="1" applyFill="1" applyBorder="1" applyAlignment="1">
      <alignment vertical="center"/>
    </xf>
    <xf numFmtId="0" fontId="2" fillId="8" borderId="15" xfId="4" applyFont="1" applyFill="1" applyBorder="1" applyAlignment="1">
      <alignment vertical="center"/>
    </xf>
    <xf numFmtId="0" fontId="7" fillId="2" borderId="0" xfId="4" applyFont="1" applyFill="1" applyBorder="1" applyAlignment="1">
      <alignment vertical="center"/>
    </xf>
    <xf numFmtId="0" fontId="7" fillId="8" borderId="26" xfId="4" applyFont="1" applyFill="1" applyBorder="1" applyAlignment="1">
      <alignment vertical="center"/>
    </xf>
    <xf numFmtId="166" fontId="0" fillId="0" borderId="23" xfId="0" applyNumberFormat="1" applyBorder="1"/>
    <xf numFmtId="0" fontId="4" fillId="6" borderId="7" xfId="4" applyFont="1" applyFill="1" applyBorder="1" applyAlignment="1">
      <alignment vertical="center"/>
    </xf>
    <xf numFmtId="0" fontId="4" fillId="6" borderId="15" xfId="4" applyFont="1" applyFill="1" applyBorder="1" applyAlignment="1">
      <alignment vertical="center"/>
    </xf>
    <xf numFmtId="2" fontId="0" fillId="9" borderId="11" xfId="0" applyNumberFormat="1" applyFill="1" applyBorder="1"/>
    <xf numFmtId="0" fontId="0" fillId="9" borderId="10" xfId="0" applyFill="1" applyBorder="1"/>
    <xf numFmtId="0" fontId="2" fillId="2" borderId="0" xfId="4" applyFont="1" applyFill="1" applyBorder="1" applyAlignment="1">
      <alignment vertical="center"/>
    </xf>
    <xf numFmtId="0" fontId="2" fillId="8" borderId="26" xfId="4" applyFont="1" applyFill="1" applyBorder="1" applyAlignment="1">
      <alignment vertical="center"/>
    </xf>
    <xf numFmtId="0" fontId="2" fillId="8" borderId="8" xfId="4" applyFont="1" applyFill="1" applyBorder="1" applyAlignment="1">
      <alignment vertical="center"/>
    </xf>
    <xf numFmtId="0" fontId="2" fillId="2" borderId="28" xfId="4" applyFont="1" applyFill="1" applyBorder="1" applyAlignment="1">
      <alignment vertical="center"/>
    </xf>
    <xf numFmtId="0" fontId="2" fillId="8" borderId="21" xfId="4" applyFont="1" applyFill="1" applyBorder="1" applyAlignment="1">
      <alignment vertical="center"/>
    </xf>
    <xf numFmtId="0" fontId="7" fillId="10" borderId="0" xfId="3" applyFont="1" applyFill="1" applyBorder="1" applyAlignment="1">
      <alignment wrapText="1"/>
    </xf>
    <xf numFmtId="0" fontId="2" fillId="8" borderId="18" xfId="4" applyFont="1" applyFill="1" applyBorder="1" applyAlignment="1">
      <alignment vertical="center"/>
    </xf>
    <xf numFmtId="0" fontId="2" fillId="8" borderId="19" xfId="4" applyFont="1" applyFill="1" applyBorder="1" applyAlignment="1">
      <alignment vertical="center"/>
    </xf>
    <xf numFmtId="165" fontId="0" fillId="10" borderId="27" xfId="0" applyNumberFormat="1" applyFill="1" applyBorder="1"/>
    <xf numFmtId="0" fontId="2" fillId="8" borderId="16" xfId="4" applyFont="1" applyFill="1" applyBorder="1" applyAlignment="1">
      <alignment vertical="center"/>
    </xf>
    <xf numFmtId="0" fontId="0" fillId="0" borderId="14" xfId="0" applyFill="1" applyBorder="1"/>
    <xf numFmtId="0" fontId="8" fillId="10" borderId="14" xfId="0" applyFont="1" applyFill="1" applyBorder="1" applyAlignment="1">
      <alignment vertical="center"/>
    </xf>
    <xf numFmtId="0" fontId="11" fillId="10" borderId="0" xfId="4" applyFont="1" applyFill="1" applyBorder="1" applyAlignment="1">
      <alignment wrapText="1"/>
    </xf>
    <xf numFmtId="0" fontId="8" fillId="10" borderId="31" xfId="0" applyFont="1" applyFill="1" applyBorder="1" applyAlignment="1">
      <alignment vertical="center"/>
    </xf>
    <xf numFmtId="0" fontId="7" fillId="10" borderId="32" xfId="3" applyFont="1" applyFill="1" applyBorder="1" applyAlignment="1">
      <alignment wrapText="1"/>
    </xf>
    <xf numFmtId="0" fontId="9" fillId="10" borderId="32" xfId="4" applyFont="1" applyFill="1" applyBorder="1" applyAlignment="1"/>
    <xf numFmtId="0" fontId="8" fillId="10" borderId="33" xfId="0" applyFont="1" applyFill="1" applyBorder="1"/>
    <xf numFmtId="0" fontId="0" fillId="10" borderId="34" xfId="0" applyFill="1" applyBorder="1"/>
    <xf numFmtId="0" fontId="0" fillId="10" borderId="35" xfId="0" applyFill="1" applyBorder="1"/>
    <xf numFmtId="2" fontId="0" fillId="10" borderId="33" xfId="0" applyNumberFormat="1" applyFill="1" applyBorder="1"/>
    <xf numFmtId="2" fontId="0" fillId="10" borderId="34" xfId="0" applyNumberFormat="1" applyFill="1" applyBorder="1"/>
    <xf numFmtId="2" fontId="0" fillId="10" borderId="35" xfId="0" applyNumberFormat="1" applyFill="1" applyBorder="1"/>
    <xf numFmtId="2" fontId="0" fillId="10" borderId="36" xfId="0" applyNumberFormat="1" applyFill="1" applyBorder="1"/>
    <xf numFmtId="0" fontId="0" fillId="10" borderId="37" xfId="0" applyFill="1" applyBorder="1"/>
    <xf numFmtId="0" fontId="8" fillId="11" borderId="14" xfId="0" applyFont="1" applyFill="1" applyBorder="1" applyAlignment="1">
      <alignment vertical="center"/>
    </xf>
    <xf numFmtId="0" fontId="7" fillId="11" borderId="0" xfId="3" applyFont="1" applyFill="1" applyBorder="1" applyAlignment="1">
      <alignment wrapText="1"/>
    </xf>
    <xf numFmtId="0" fontId="7" fillId="11" borderId="29" xfId="3" applyFont="1" applyFill="1" applyBorder="1" applyAlignment="1">
      <alignment wrapText="1"/>
    </xf>
    <xf numFmtId="0" fontId="2" fillId="11" borderId="30" xfId="4" applyFont="1" applyFill="1" applyBorder="1" applyAlignment="1">
      <alignment vertical="center"/>
    </xf>
    <xf numFmtId="0" fontId="0" fillId="4" borderId="39" xfId="0" applyFill="1" applyBorder="1" applyAlignment="1">
      <alignment wrapText="1"/>
    </xf>
    <xf numFmtId="167" fontId="1" fillId="0" borderId="7" xfId="1" applyNumberFormat="1" applyBorder="1"/>
    <xf numFmtId="167" fontId="1" fillId="0" borderId="1" xfId="1" applyNumberFormat="1" applyBorder="1"/>
    <xf numFmtId="167" fontId="1" fillId="0" borderId="8" xfId="1" applyNumberFormat="1" applyBorder="1"/>
    <xf numFmtId="167" fontId="1" fillId="0" borderId="39" xfId="1" applyNumberFormat="1" applyBorder="1"/>
    <xf numFmtId="0" fontId="7" fillId="10" borderId="29" xfId="3" applyFont="1" applyFill="1" applyBorder="1" applyAlignment="1">
      <alignment wrapText="1"/>
    </xf>
    <xf numFmtId="0" fontId="2" fillId="10" borderId="30" xfId="4" applyFont="1" applyFill="1" applyBorder="1" applyAlignment="1">
      <alignment vertical="center"/>
    </xf>
    <xf numFmtId="2" fontId="0" fillId="0" borderId="0" xfId="0" applyNumberFormat="1"/>
    <xf numFmtId="2" fontId="1" fillId="0" borderId="7" xfId="1" applyNumberFormat="1" applyBorder="1"/>
    <xf numFmtId="2" fontId="1" fillId="0" borderId="20" xfId="1" applyNumberFormat="1" applyBorder="1"/>
    <xf numFmtId="2" fontId="1" fillId="10" borderId="12" xfId="1" applyNumberFormat="1" applyFill="1" applyBorder="1"/>
    <xf numFmtId="168" fontId="1" fillId="0" borderId="7" xfId="1" applyNumberFormat="1" applyBorder="1"/>
    <xf numFmtId="168" fontId="1" fillId="10" borderId="12" xfId="1" applyNumberFormat="1" applyFill="1" applyBorder="1"/>
    <xf numFmtId="168" fontId="1" fillId="10" borderId="42" xfId="1" applyNumberFormat="1" applyFill="1" applyBorder="1"/>
    <xf numFmtId="168" fontId="1" fillId="10" borderId="41" xfId="1" applyNumberFormat="1" applyFill="1" applyBorder="1"/>
    <xf numFmtId="168" fontId="1" fillId="10" borderId="44" xfId="1" applyNumberFormat="1" applyFill="1" applyBorder="1"/>
    <xf numFmtId="0" fontId="0" fillId="0" borderId="0" xfId="0" applyAlignment="1">
      <alignment horizontal="right"/>
    </xf>
    <xf numFmtId="2" fontId="0" fillId="0" borderId="0" xfId="0" applyNumberFormat="1" applyAlignment="1">
      <alignment horizontal="right"/>
    </xf>
    <xf numFmtId="3" fontId="0" fillId="0" borderId="0" xfId="0" applyNumberFormat="1"/>
    <xf numFmtId="9" fontId="0" fillId="0" borderId="0" xfId="0" applyNumberFormat="1"/>
    <xf numFmtId="0" fontId="12" fillId="0" borderId="0" xfId="0" applyFont="1"/>
    <xf numFmtId="3" fontId="0" fillId="0" borderId="1" xfId="0" applyNumberFormat="1" applyBorder="1"/>
    <xf numFmtId="0" fontId="0" fillId="0" borderId="1" xfId="0" applyBorder="1" applyAlignment="1">
      <alignment horizontal="right"/>
    </xf>
    <xf numFmtId="3" fontId="0" fillId="0" borderId="1" xfId="0" applyNumberFormat="1" applyBorder="1" applyAlignment="1">
      <alignment horizontal="right"/>
    </xf>
    <xf numFmtId="0" fontId="0" fillId="9" borderId="1" xfId="0" applyFill="1" applyBorder="1"/>
    <xf numFmtId="14" fontId="1" fillId="2" borderId="3" xfId="4" applyNumberFormat="1" applyFont="1" applyBorder="1" applyAlignment="1">
      <alignment horizontal="justify" vertical="top"/>
    </xf>
    <xf numFmtId="0" fontId="0" fillId="2" borderId="38" xfId="4" applyFont="1" applyBorder="1" applyAlignment="1">
      <alignment wrapText="1"/>
    </xf>
    <xf numFmtId="0" fontId="1" fillId="2" borderId="25" xfId="4" applyFont="1" applyBorder="1" applyAlignment="1">
      <alignment horizontal="justify" vertical="top"/>
    </xf>
    <xf numFmtId="0" fontId="0" fillId="2" borderId="40" xfId="4" applyFont="1" applyBorder="1" applyAlignment="1">
      <alignment wrapText="1"/>
    </xf>
    <xf numFmtId="0" fontId="1" fillId="2" borderId="1" xfId="4" applyFont="1" applyBorder="1" applyAlignment="1">
      <alignment horizontal="justify" vertical="top"/>
    </xf>
    <xf numFmtId="0" fontId="1" fillId="2" borderId="39" xfId="4" applyFont="1" applyBorder="1" applyAlignment="1">
      <alignment wrapText="1"/>
    </xf>
    <xf numFmtId="14" fontId="1" fillId="2" borderId="1" xfId="4" applyNumberFormat="1" applyFont="1" applyBorder="1" applyAlignment="1">
      <alignment horizontal="justify" vertical="top"/>
    </xf>
    <xf numFmtId="0" fontId="0" fillId="2" borderId="39" xfId="4" applyFont="1" applyBorder="1" applyAlignment="1">
      <alignment wrapText="1"/>
    </xf>
    <xf numFmtId="0" fontId="0" fillId="0" borderId="51" xfId="0" applyBorder="1"/>
    <xf numFmtId="0" fontId="1" fillId="2" borderId="33" xfId="0" applyFont="1" applyFill="1" applyBorder="1" applyAlignment="1">
      <alignment vertical="top"/>
    </xf>
    <xf numFmtId="0" fontId="1" fillId="2" borderId="34" xfId="0" applyFont="1" applyFill="1" applyBorder="1" applyAlignment="1">
      <alignment vertical="top"/>
    </xf>
    <xf numFmtId="0" fontId="0" fillId="0" borderId="52" xfId="0" applyBorder="1" applyAlignment="1">
      <alignment wrapText="1"/>
    </xf>
    <xf numFmtId="0" fontId="1" fillId="0" borderId="2" xfId="0" applyFont="1" applyBorder="1" applyAlignment="1">
      <alignment vertical="top"/>
    </xf>
    <xf numFmtId="0" fontId="1" fillId="0" borderId="3" xfId="0" applyFont="1" applyBorder="1" applyAlignment="1">
      <alignment vertical="top"/>
    </xf>
    <xf numFmtId="0" fontId="0" fillId="0" borderId="38" xfId="0" applyBorder="1" applyAlignment="1">
      <alignment wrapText="1"/>
    </xf>
    <xf numFmtId="0" fontId="0" fillId="0" borderId="12" xfId="0" applyBorder="1" applyAlignment="1">
      <alignment vertical="top"/>
    </xf>
    <xf numFmtId="0" fontId="1" fillId="0" borderId="25" xfId="0" applyFont="1" applyBorder="1" applyAlignment="1">
      <alignment vertical="top"/>
    </xf>
    <xf numFmtId="0" fontId="0" fillId="0" borderId="53" xfId="0" applyBorder="1" applyAlignment="1">
      <alignment wrapText="1"/>
    </xf>
    <xf numFmtId="0" fontId="0" fillId="0" borderId="1" xfId="0" applyBorder="1" applyAlignment="1">
      <alignment vertical="top" wrapText="1"/>
    </xf>
    <xf numFmtId="0" fontId="0" fillId="0" borderId="39" xfId="0" applyBorder="1" applyAlignment="1">
      <alignment wrapText="1"/>
    </xf>
    <xf numFmtId="0" fontId="0" fillId="0" borderId="34" xfId="0" applyBorder="1" applyAlignment="1">
      <alignment vertical="top"/>
    </xf>
    <xf numFmtId="0" fontId="1" fillId="0" borderId="3" xfId="0" applyFont="1" applyBorder="1" applyAlignment="1">
      <alignment vertical="top" wrapText="1"/>
    </xf>
    <xf numFmtId="0" fontId="1" fillId="0" borderId="1" xfId="0" applyFont="1" applyBorder="1" applyAlignment="1">
      <alignment vertical="top"/>
    </xf>
    <xf numFmtId="0" fontId="1" fillId="0" borderId="7" xfId="0" applyFont="1" applyBorder="1" applyAlignment="1">
      <alignment vertical="top"/>
    </xf>
    <xf numFmtId="0" fontId="1" fillId="2" borderId="1" xfId="4" applyFont="1" applyBorder="1" applyAlignment="1">
      <alignment vertical="top"/>
    </xf>
    <xf numFmtId="0" fontId="0" fillId="0" borderId="39" xfId="0" applyBorder="1"/>
    <xf numFmtId="0" fontId="1" fillId="0" borderId="33" xfId="0" applyFont="1" applyBorder="1" applyAlignment="1">
      <alignment vertical="top"/>
    </xf>
    <xf numFmtId="0" fontId="1" fillId="2" borderId="34" xfId="4" applyFont="1" applyBorder="1" applyAlignment="1">
      <alignment vertical="top"/>
    </xf>
    <xf numFmtId="0" fontId="1" fillId="0" borderId="2" xfId="0" applyFont="1" applyBorder="1" applyAlignment="1">
      <alignment vertical="center"/>
    </xf>
    <xf numFmtId="0" fontId="1" fillId="2" borderId="3" xfId="4" applyFont="1" applyBorder="1" applyAlignment="1"/>
    <xf numFmtId="0" fontId="1" fillId="0" borderId="34" xfId="0" applyFont="1" applyBorder="1" applyAlignment="1">
      <alignment vertical="top"/>
    </xf>
    <xf numFmtId="0" fontId="14" fillId="0" borderId="3" xfId="0" applyFont="1" applyBorder="1" applyAlignment="1">
      <alignment horizontal="left" vertical="top"/>
    </xf>
    <xf numFmtId="0" fontId="0" fillId="0" borderId="38" xfId="0" applyBorder="1" applyAlignment="1">
      <alignment horizontal="left" wrapText="1"/>
    </xf>
    <xf numFmtId="0" fontId="14" fillId="0" borderId="1" xfId="0" applyFont="1" applyBorder="1" applyAlignment="1">
      <alignment horizontal="left" vertical="top" wrapText="1"/>
    </xf>
    <xf numFmtId="0" fontId="0" fillId="0" borderId="39" xfId="0" applyBorder="1" applyAlignment="1">
      <alignment horizontal="left" wrapText="1"/>
    </xf>
    <xf numFmtId="0" fontId="14" fillId="0" borderId="1" xfId="0" applyFont="1" applyBorder="1" applyAlignment="1">
      <alignment horizontal="left" vertical="top"/>
    </xf>
    <xf numFmtId="0" fontId="14" fillId="0" borderId="34" xfId="0" applyFont="1" applyBorder="1" applyAlignment="1">
      <alignment horizontal="left" vertical="top"/>
    </xf>
    <xf numFmtId="0" fontId="0" fillId="0" borderId="52" xfId="0" applyBorder="1" applyAlignment="1">
      <alignment horizontal="left" wrapText="1"/>
    </xf>
    <xf numFmtId="0" fontId="14" fillId="0" borderId="2" xfId="0" applyFont="1" applyBorder="1" applyAlignment="1">
      <alignment horizontal="justify" vertical="center"/>
    </xf>
    <xf numFmtId="0" fontId="1" fillId="0" borderId="3" xfId="0" applyFont="1" applyBorder="1"/>
    <xf numFmtId="0" fontId="14" fillId="0" borderId="33" xfId="0" applyFont="1" applyBorder="1" applyAlignment="1">
      <alignment horizontal="justify" vertical="center"/>
    </xf>
    <xf numFmtId="0" fontId="1" fillId="0" borderId="34" xfId="0" applyFont="1" applyBorder="1"/>
    <xf numFmtId="0" fontId="14" fillId="0" borderId="3" xfId="0" applyFont="1" applyBorder="1" applyAlignment="1">
      <alignment horizontal="justify" vertical="center"/>
    </xf>
    <xf numFmtId="0" fontId="14" fillId="0" borderId="1" xfId="0" applyFont="1" applyBorder="1" applyAlignment="1">
      <alignment horizontal="justify" vertical="center"/>
    </xf>
    <xf numFmtId="0" fontId="1" fillId="0" borderId="38" xfId="0" applyFont="1" applyBorder="1"/>
    <xf numFmtId="0" fontId="14" fillId="0" borderId="3" xfId="0" applyFont="1" applyBorder="1" applyAlignment="1">
      <alignment horizontal="left" vertical="top" wrapText="1"/>
    </xf>
    <xf numFmtId="0" fontId="14" fillId="0" borderId="1" xfId="0" applyFont="1" applyBorder="1" applyAlignment="1">
      <alignment horizontal="justify" vertical="top"/>
    </xf>
    <xf numFmtId="0" fontId="14" fillId="0" borderId="7" xfId="0" applyFont="1" applyBorder="1" applyAlignment="1">
      <alignment horizontal="justify" vertical="top"/>
    </xf>
    <xf numFmtId="0" fontId="14" fillId="0" borderId="33" xfId="0" applyFont="1" applyBorder="1" applyAlignment="1">
      <alignment horizontal="justify" vertical="top"/>
    </xf>
    <xf numFmtId="0" fontId="1" fillId="0" borderId="52" xfId="0" applyFont="1" applyBorder="1"/>
    <xf numFmtId="0" fontId="14" fillId="0" borderId="2" xfId="0" applyFont="1" applyBorder="1" applyAlignment="1">
      <alignment horizontal="justify" vertical="top"/>
    </xf>
    <xf numFmtId="0" fontId="1" fillId="0" borderId="33" xfId="0" applyFont="1" applyBorder="1" applyAlignment="1">
      <alignment horizontal="left" vertical="top" wrapText="1"/>
    </xf>
    <xf numFmtId="0" fontId="1" fillId="0" borderId="2" xfId="0" applyFont="1" applyBorder="1" applyAlignment="1">
      <alignment horizontal="left" vertical="top"/>
    </xf>
    <xf numFmtId="0" fontId="1" fillId="0" borderId="39" xfId="0" applyFont="1" applyBorder="1" applyAlignment="1">
      <alignment wrapText="1"/>
    </xf>
    <xf numFmtId="0" fontId="14" fillId="0" borderId="1" xfId="0" applyFont="1" applyBorder="1" applyAlignment="1">
      <alignment vertical="top" wrapText="1"/>
    </xf>
    <xf numFmtId="0" fontId="14" fillId="0" borderId="45" xfId="0" applyFont="1" applyBorder="1" applyAlignment="1">
      <alignment vertical="top" wrapText="1"/>
    </xf>
    <xf numFmtId="0" fontId="0" fillId="0" borderId="39" xfId="0" applyBorder="1" applyAlignment="1">
      <alignment vertical="top" wrapText="1"/>
    </xf>
    <xf numFmtId="0" fontId="14" fillId="0" borderId="34" xfId="0" applyFont="1" applyBorder="1" applyAlignment="1">
      <alignment vertical="top" wrapText="1"/>
    </xf>
    <xf numFmtId="0" fontId="0" fillId="0" borderId="52" xfId="0" applyBorder="1" applyAlignment="1">
      <alignment vertical="top" wrapText="1"/>
    </xf>
    <xf numFmtId="0" fontId="0" fillId="9" borderId="1" xfId="0" applyFill="1" applyBorder="1" applyAlignment="1">
      <alignment horizontal="left"/>
    </xf>
    <xf numFmtId="10" fontId="0" fillId="0" borderId="1" xfId="0" applyNumberFormat="1" applyBorder="1"/>
    <xf numFmtId="9" fontId="0" fillId="0" borderId="1" xfId="0" applyNumberFormat="1" applyBorder="1"/>
    <xf numFmtId="0" fontId="15" fillId="0" borderId="0" xfId="0" applyFont="1"/>
    <xf numFmtId="0" fontId="0" fillId="0" borderId="0" xfId="0" applyAlignment="1">
      <alignment wrapText="1"/>
    </xf>
    <xf numFmtId="0" fontId="15" fillId="0" borderId="1" xfId="0" applyFont="1" applyBorder="1"/>
    <xf numFmtId="0" fontId="0" fillId="7" borderId="0" xfId="0" applyFill="1"/>
    <xf numFmtId="0" fontId="0" fillId="7" borderId="0" xfId="0" applyFill="1" applyAlignment="1">
      <alignment wrapText="1"/>
    </xf>
    <xf numFmtId="0" fontId="0" fillId="7" borderId="0" xfId="0" applyFill="1" applyAlignment="1">
      <alignment horizontal="right"/>
    </xf>
    <xf numFmtId="0" fontId="16" fillId="0" borderId="0" xfId="0" applyFont="1"/>
    <xf numFmtId="2" fontId="0" fillId="7" borderId="0" xfId="0" applyNumberFormat="1" applyFill="1" applyAlignment="1">
      <alignment horizontal="right"/>
    </xf>
    <xf numFmtId="0" fontId="17" fillId="0" borderId="0" xfId="0" applyFont="1"/>
    <xf numFmtId="0" fontId="12" fillId="13" borderId="1" xfId="0" applyFont="1" applyFill="1" applyBorder="1"/>
    <xf numFmtId="0" fontId="0" fillId="14" borderId="1" xfId="0" applyFill="1" applyBorder="1"/>
    <xf numFmtId="168" fontId="0" fillId="0" borderId="1" xfId="0" applyNumberFormat="1" applyBorder="1"/>
    <xf numFmtId="168" fontId="0" fillId="14" borderId="1" xfId="0" applyNumberFormat="1" applyFill="1" applyBorder="1"/>
    <xf numFmtId="0" fontId="0" fillId="2" borderId="1" xfId="0" applyFill="1" applyBorder="1"/>
    <xf numFmtId="168" fontId="0" fillId="2" borderId="1" xfId="0" applyNumberFormat="1" applyFill="1" applyBorder="1"/>
    <xf numFmtId="0" fontId="0" fillId="13" borderId="1" xfId="0" applyFill="1" applyBorder="1"/>
    <xf numFmtId="0" fontId="0" fillId="0" borderId="1" xfId="0" applyBorder="1" applyAlignment="1">
      <alignment horizontal="center"/>
    </xf>
    <xf numFmtId="0" fontId="0" fillId="14" borderId="8" xfId="0" applyFill="1" applyBorder="1" applyAlignment="1">
      <alignment horizontal="left"/>
    </xf>
    <xf numFmtId="0" fontId="0" fillId="14" borderId="47" xfId="0" applyFill="1" applyBorder="1" applyAlignment="1">
      <alignment horizontal="left"/>
    </xf>
    <xf numFmtId="2" fontId="0" fillId="0" borderId="14" xfId="0" applyNumberFormat="1" applyBorder="1"/>
    <xf numFmtId="0" fontId="0" fillId="4" borderId="47" xfId="0" applyFill="1" applyBorder="1"/>
    <xf numFmtId="0" fontId="0" fillId="0" borderId="47" xfId="0" applyBorder="1"/>
    <xf numFmtId="2" fontId="6" fillId="9" borderId="47" xfId="0" applyNumberFormat="1" applyFont="1" applyFill="1" applyBorder="1"/>
    <xf numFmtId="2" fontId="0" fillId="0" borderId="47" xfId="0" applyNumberFormat="1" applyBorder="1"/>
    <xf numFmtId="2" fontId="0" fillId="0" borderId="62" xfId="0" applyNumberFormat="1" applyBorder="1"/>
    <xf numFmtId="2" fontId="0" fillId="10" borderId="58" xfId="0" applyNumberFormat="1" applyFill="1" applyBorder="1"/>
    <xf numFmtId="2" fontId="0" fillId="10" borderId="63" xfId="0" applyNumberFormat="1" applyFill="1" applyBorder="1"/>
    <xf numFmtId="2" fontId="6" fillId="9" borderId="39" xfId="0" applyNumberFormat="1" applyFont="1" applyFill="1" applyBorder="1"/>
    <xf numFmtId="2" fontId="0" fillId="0" borderId="39" xfId="0" applyNumberFormat="1" applyBorder="1"/>
    <xf numFmtId="2" fontId="0" fillId="10" borderId="40" xfId="0" applyNumberFormat="1" applyFill="1" applyBorder="1"/>
    <xf numFmtId="2" fontId="0" fillId="10" borderId="52" xfId="0" applyNumberFormat="1" applyFill="1" applyBorder="1"/>
    <xf numFmtId="2" fontId="0" fillId="0" borderId="64" xfId="0" applyNumberFormat="1" applyBorder="1"/>
    <xf numFmtId="0" fontId="0" fillId="0" borderId="7" xfId="0" applyNumberFormat="1" applyBorder="1"/>
    <xf numFmtId="49" fontId="0" fillId="10" borderId="67" xfId="0" applyNumberFormat="1" applyFill="1" applyBorder="1" applyAlignment="1">
      <alignment horizontal="center"/>
    </xf>
    <xf numFmtId="0" fontId="0" fillId="4" borderId="61" xfId="0" applyFill="1" applyBorder="1"/>
    <xf numFmtId="2" fontId="1" fillId="10" borderId="41" xfId="1" applyNumberFormat="1" applyFill="1" applyBorder="1"/>
    <xf numFmtId="2" fontId="1" fillId="0" borderId="20" xfId="1" applyNumberFormat="1" applyFill="1" applyBorder="1"/>
    <xf numFmtId="2" fontId="1" fillId="10" borderId="7" xfId="1" applyNumberFormat="1" applyFill="1" applyBorder="1"/>
    <xf numFmtId="2" fontId="1" fillId="10" borderId="20" xfId="1" applyNumberFormat="1" applyFill="1" applyBorder="1"/>
    <xf numFmtId="2" fontId="0" fillId="0" borderId="7" xfId="1" applyNumberFormat="1" applyFont="1" applyBorder="1"/>
    <xf numFmtId="2" fontId="1" fillId="10" borderId="43" xfId="1" applyNumberFormat="1" applyFill="1" applyBorder="1"/>
    <xf numFmtId="2" fontId="1" fillId="10" borderId="42" xfId="1" applyNumberFormat="1" applyFill="1" applyBorder="1"/>
    <xf numFmtId="2" fontId="0" fillId="10" borderId="12" xfId="1" applyNumberFormat="1" applyFont="1" applyFill="1" applyBorder="1"/>
    <xf numFmtId="169" fontId="1" fillId="0" borderId="39" xfId="1" applyNumberFormat="1" applyBorder="1"/>
    <xf numFmtId="169" fontId="1" fillId="0" borderId="22" xfId="1" applyNumberFormat="1" applyBorder="1"/>
    <xf numFmtId="169" fontId="1" fillId="10" borderId="40" xfId="1" applyNumberFormat="1" applyFill="1" applyBorder="1"/>
    <xf numFmtId="169" fontId="1" fillId="0" borderId="22" xfId="1" applyNumberFormat="1" applyFill="1" applyBorder="1"/>
    <xf numFmtId="169" fontId="1" fillId="10" borderId="39" xfId="1" applyNumberFormat="1" applyFill="1" applyBorder="1"/>
    <xf numFmtId="169" fontId="1" fillId="10" borderId="22" xfId="1" applyNumberFormat="1" applyFill="1" applyBorder="1"/>
    <xf numFmtId="169" fontId="1" fillId="0" borderId="1" xfId="1" applyNumberFormat="1" applyBorder="1"/>
    <xf numFmtId="169" fontId="1" fillId="0" borderId="18" xfId="1" applyNumberFormat="1" applyBorder="1"/>
    <xf numFmtId="169" fontId="1" fillId="10" borderId="25" xfId="1" applyNumberFormat="1" applyFill="1" applyBorder="1"/>
    <xf numFmtId="169" fontId="1" fillId="0" borderId="18" xfId="1" applyNumberFormat="1" applyFill="1" applyBorder="1"/>
    <xf numFmtId="169" fontId="1" fillId="10" borderId="1" xfId="1" applyNumberFormat="1" applyFill="1" applyBorder="1"/>
    <xf numFmtId="169" fontId="1" fillId="10" borderId="18" xfId="1" applyNumberFormat="1" applyFill="1" applyBorder="1"/>
    <xf numFmtId="169" fontId="1" fillId="0" borderId="8" xfId="1" applyNumberFormat="1" applyBorder="1"/>
    <xf numFmtId="169" fontId="1" fillId="0" borderId="21" xfId="1" applyNumberFormat="1" applyBorder="1"/>
    <xf numFmtId="169" fontId="1" fillId="10" borderId="26" xfId="1" applyNumberFormat="1" applyFill="1" applyBorder="1"/>
    <xf numFmtId="169" fontId="1" fillId="0" borderId="21" xfId="1" applyNumberFormat="1" applyFill="1" applyBorder="1"/>
    <xf numFmtId="169" fontId="1" fillId="10" borderId="8" xfId="1" applyNumberFormat="1" applyFill="1" applyBorder="1"/>
    <xf numFmtId="169" fontId="1" fillId="10" borderId="21" xfId="1" applyNumberFormat="1" applyFill="1" applyBorder="1"/>
    <xf numFmtId="169" fontId="0" fillId="0" borderId="1" xfId="1" applyNumberFormat="1" applyFont="1" applyBorder="1"/>
    <xf numFmtId="0" fontId="0" fillId="7" borderId="10" xfId="0" applyNumberFormat="1" applyFill="1" applyBorder="1" applyAlignment="1">
      <alignment horizontal="right"/>
    </xf>
    <xf numFmtId="0" fontId="6" fillId="3" borderId="10" xfId="0" applyNumberFormat="1" applyFont="1" applyFill="1" applyBorder="1" applyAlignment="1">
      <alignment horizontal="right"/>
    </xf>
    <xf numFmtId="0" fontId="0" fillId="7" borderId="24" xfId="0" applyNumberFormat="1" applyFill="1" applyBorder="1" applyAlignment="1">
      <alignment horizontal="right"/>
    </xf>
    <xf numFmtId="0" fontId="0" fillId="5" borderId="9" xfId="0" applyNumberFormat="1" applyFill="1" applyBorder="1" applyAlignment="1">
      <alignment horizontal="right"/>
    </xf>
    <xf numFmtId="0" fontId="0" fillId="3" borderId="10" xfId="0" applyNumberFormat="1" applyFill="1" applyBorder="1" applyAlignment="1">
      <alignment horizontal="right"/>
    </xf>
    <xf numFmtId="0" fontId="0" fillId="7" borderId="60" xfId="0" applyNumberFormat="1" applyFill="1" applyBorder="1" applyAlignment="1">
      <alignment horizontal="right"/>
    </xf>
    <xf numFmtId="0" fontId="12" fillId="13" borderId="8" xfId="0" applyFont="1" applyFill="1" applyBorder="1" applyAlignment="1">
      <alignment horizontal="right"/>
    </xf>
    <xf numFmtId="0" fontId="12" fillId="13" borderId="47" xfId="0" applyFont="1" applyFill="1" applyBorder="1" applyAlignment="1">
      <alignment horizontal="right"/>
    </xf>
    <xf numFmtId="0" fontId="12" fillId="13" borderId="16" xfId="0" applyFont="1" applyFill="1" applyBorder="1" applyAlignment="1">
      <alignment horizontal="center" vertical="center"/>
    </xf>
    <xf numFmtId="0" fontId="12" fillId="13" borderId="59" xfId="0" applyFont="1" applyFill="1" applyBorder="1" applyAlignment="1">
      <alignment horizontal="center" vertical="center"/>
    </xf>
    <xf numFmtId="0" fontId="12" fillId="13" borderId="26" xfId="0" applyFont="1" applyFill="1" applyBorder="1" applyAlignment="1">
      <alignment horizontal="center" vertical="center"/>
    </xf>
    <xf numFmtId="0" fontId="12" fillId="13" borderId="58" xfId="0" applyFont="1" applyFill="1" applyBorder="1" applyAlignment="1">
      <alignment horizontal="center" vertical="center"/>
    </xf>
    <xf numFmtId="0" fontId="12" fillId="13" borderId="8" xfId="0" applyFont="1" applyFill="1" applyBorder="1" applyAlignment="1">
      <alignment horizontal="center"/>
    </xf>
    <xf numFmtId="0" fontId="12" fillId="13" borderId="15" xfId="0" applyFont="1" applyFill="1" applyBorder="1" applyAlignment="1">
      <alignment horizontal="center"/>
    </xf>
    <xf numFmtId="0" fontId="12" fillId="13" borderId="47" xfId="0" applyFont="1" applyFill="1" applyBorder="1" applyAlignment="1">
      <alignment horizontal="center"/>
    </xf>
    <xf numFmtId="0" fontId="0" fillId="14" borderId="8" xfId="0" applyFill="1" applyBorder="1" applyAlignment="1">
      <alignment horizontal="left"/>
    </xf>
    <xf numFmtId="0" fontId="0" fillId="14" borderId="47" xfId="0" applyFill="1" applyBorder="1" applyAlignment="1">
      <alignment horizontal="left"/>
    </xf>
    <xf numFmtId="0" fontId="0" fillId="14" borderId="1" xfId="0" applyFill="1" applyBorder="1" applyAlignment="1">
      <alignment horizontal="left"/>
    </xf>
    <xf numFmtId="0" fontId="0" fillId="0" borderId="8" xfId="0" applyBorder="1" applyAlignment="1">
      <alignment horizontal="left"/>
    </xf>
    <xf numFmtId="0" fontId="0" fillId="0" borderId="15" xfId="0" applyBorder="1" applyAlignment="1">
      <alignment horizontal="left"/>
    </xf>
    <xf numFmtId="0" fontId="0" fillId="0" borderId="47" xfId="0" applyBorder="1" applyAlignment="1">
      <alignment horizontal="left"/>
    </xf>
    <xf numFmtId="0" fontId="0" fillId="9" borderId="8" xfId="0" applyFill="1" applyBorder="1" applyAlignment="1">
      <alignment horizontal="left"/>
    </xf>
    <xf numFmtId="0" fontId="0" fillId="9" borderId="15" xfId="0" applyFill="1" applyBorder="1" applyAlignment="1">
      <alignment horizontal="left"/>
    </xf>
    <xf numFmtId="0" fontId="0" fillId="9" borderId="47" xfId="0" applyFill="1" applyBorder="1" applyAlignment="1">
      <alignment horizontal="left"/>
    </xf>
    <xf numFmtId="0" fontId="13" fillId="9" borderId="54" xfId="5" applyFont="1" applyFill="1" applyBorder="1" applyAlignment="1">
      <alignment horizontal="left"/>
    </xf>
    <xf numFmtId="0" fontId="13" fillId="9" borderId="55" xfId="5" applyFont="1" applyFill="1" applyBorder="1" applyAlignment="1">
      <alignment horizontal="left"/>
    </xf>
    <xf numFmtId="0" fontId="13" fillId="9" borderId="56" xfId="5" applyFont="1" applyFill="1" applyBorder="1" applyAlignment="1">
      <alignment horizontal="left"/>
    </xf>
    <xf numFmtId="0" fontId="1" fillId="0" borderId="2" xfId="0" applyFont="1" applyBorder="1" applyAlignment="1">
      <alignment vertical="top"/>
    </xf>
    <xf numFmtId="0" fontId="1" fillId="0" borderId="7" xfId="0" applyFont="1" applyBorder="1" applyAlignment="1">
      <alignment vertical="top"/>
    </xf>
    <xf numFmtId="0" fontId="1" fillId="0" borderId="49" xfId="0" applyFont="1" applyBorder="1" applyAlignment="1">
      <alignment vertical="top"/>
    </xf>
    <xf numFmtId="0" fontId="1" fillId="0" borderId="50" xfId="0" applyFont="1" applyBorder="1" applyAlignment="1">
      <alignment vertical="top"/>
    </xf>
    <xf numFmtId="0" fontId="1" fillId="0" borderId="43" xfId="0" applyFont="1" applyBorder="1" applyAlignment="1">
      <alignment vertical="top"/>
    </xf>
    <xf numFmtId="0" fontId="1" fillId="2" borderId="48" xfId="4" applyFont="1" applyBorder="1" applyAlignment="1">
      <alignment vertical="top"/>
    </xf>
    <xf numFmtId="0" fontId="1" fillId="2" borderId="12" xfId="4" applyFont="1" applyBorder="1" applyAlignment="1">
      <alignment vertical="top"/>
    </xf>
    <xf numFmtId="0" fontId="1" fillId="2" borderId="49" xfId="0" applyFont="1" applyFill="1" applyBorder="1" applyAlignment="1">
      <alignment vertical="top"/>
    </xf>
    <xf numFmtId="0" fontId="1" fillId="2" borderId="50" xfId="0" applyFont="1" applyFill="1" applyBorder="1" applyAlignment="1">
      <alignment vertical="top"/>
    </xf>
    <xf numFmtId="0" fontId="1" fillId="2" borderId="12" xfId="0" applyFont="1" applyFill="1" applyBorder="1" applyAlignment="1">
      <alignment vertical="top"/>
    </xf>
    <xf numFmtId="0" fontId="0" fillId="0" borderId="7" xfId="0" applyBorder="1" applyAlignment="1">
      <alignment vertical="top"/>
    </xf>
    <xf numFmtId="0" fontId="1" fillId="0" borderId="33" xfId="0" applyFont="1" applyBorder="1" applyAlignment="1">
      <alignment vertical="top"/>
    </xf>
    <xf numFmtId="0" fontId="1" fillId="0" borderId="12" xfId="0" applyFont="1" applyBorder="1" applyAlignment="1">
      <alignment vertical="top"/>
    </xf>
    <xf numFmtId="0" fontId="1" fillId="0" borderId="2" xfId="0" applyFont="1" applyBorder="1" applyAlignment="1">
      <alignment horizontal="left" vertical="top"/>
    </xf>
    <xf numFmtId="0" fontId="1" fillId="0" borderId="7" xfId="0" applyFont="1" applyBorder="1" applyAlignment="1">
      <alignment horizontal="left" vertical="top"/>
    </xf>
    <xf numFmtId="0" fontId="1" fillId="0" borderId="49" xfId="0" applyFont="1" applyBorder="1" applyAlignment="1">
      <alignment horizontal="left" vertical="top"/>
    </xf>
    <xf numFmtId="0" fontId="1" fillId="0" borderId="43" xfId="0" applyFont="1" applyBorder="1" applyAlignment="1">
      <alignment horizontal="left" vertical="top"/>
    </xf>
    <xf numFmtId="0" fontId="1" fillId="0" borderId="2" xfId="0" applyFont="1" applyBorder="1" applyAlignment="1">
      <alignment vertical="center"/>
    </xf>
    <xf numFmtId="0" fontId="1" fillId="0" borderId="7" xfId="0" applyFont="1" applyBorder="1" applyAlignment="1">
      <alignment vertical="center"/>
    </xf>
    <xf numFmtId="0" fontId="14" fillId="0" borderId="49" xfId="0" applyFont="1" applyBorder="1" applyAlignment="1">
      <alignment horizontal="justify" vertical="top"/>
    </xf>
    <xf numFmtId="0" fontId="15" fillId="0" borderId="1" xfId="0" applyFont="1" applyBorder="1" applyAlignment="1">
      <alignment horizontal="center"/>
    </xf>
    <xf numFmtId="0" fontId="15" fillId="0" borderId="57" xfId="0" applyFont="1" applyBorder="1" applyAlignment="1">
      <alignment horizontal="left"/>
    </xf>
    <xf numFmtId="0" fontId="15" fillId="0" borderId="58" xfId="0" applyFont="1" applyBorder="1" applyAlignment="1">
      <alignment horizontal="left"/>
    </xf>
    <xf numFmtId="0" fontId="15" fillId="0" borderId="1" xfId="0" applyFont="1" applyBorder="1" applyAlignment="1">
      <alignment horizontal="center" wrapText="1"/>
    </xf>
    <xf numFmtId="2" fontId="15" fillId="0" borderId="1" xfId="0" applyNumberFormat="1" applyFont="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38" xfId="0" applyFill="1" applyBorder="1" applyAlignment="1">
      <alignment horizontal="center"/>
    </xf>
    <xf numFmtId="0" fontId="4" fillId="8" borderId="8" xfId="3" applyFont="1" applyFill="1" applyBorder="1" applyAlignment="1">
      <alignment horizontal="left"/>
    </xf>
    <xf numFmtId="0" fontId="4" fillId="8" borderId="15" xfId="3" applyFont="1" applyFill="1" applyBorder="1" applyAlignment="1">
      <alignment horizontal="left"/>
    </xf>
    <xf numFmtId="0" fontId="0" fillId="4" borderId="4" xfId="0" applyFill="1" applyBorder="1" applyAlignment="1">
      <alignment horizontal="center"/>
    </xf>
    <xf numFmtId="0" fontId="0" fillId="4" borderId="61" xfId="0" applyFill="1" applyBorder="1" applyAlignment="1">
      <alignment horizontal="center"/>
    </xf>
    <xf numFmtId="166" fontId="0" fillId="0" borderId="15" xfId="0" applyNumberFormat="1" applyBorder="1" applyAlignment="1">
      <alignment horizontal="center" vertical="center"/>
    </xf>
    <xf numFmtId="166" fontId="6" fillId="9" borderId="15" xfId="0" applyNumberFormat="1" applyFont="1" applyFill="1" applyBorder="1" applyAlignment="1">
      <alignment horizontal="center" vertical="center"/>
    </xf>
    <xf numFmtId="166" fontId="0" fillId="0" borderId="19" xfId="0" applyNumberFormat="1" applyBorder="1" applyAlignment="1">
      <alignment horizontal="center" vertical="center"/>
    </xf>
    <xf numFmtId="166" fontId="0" fillId="10" borderId="13" xfId="0" applyNumberFormat="1" applyFill="1" applyBorder="1" applyAlignment="1">
      <alignment horizontal="center" vertical="center"/>
    </xf>
    <xf numFmtId="166" fontId="0" fillId="9" borderId="15" xfId="0" applyNumberFormat="1" applyFill="1" applyBorder="1" applyAlignment="1">
      <alignment horizontal="center" vertical="center"/>
    </xf>
    <xf numFmtId="166" fontId="0" fillId="0" borderId="11" xfId="0" applyNumberFormat="1" applyBorder="1" applyAlignment="1">
      <alignment horizontal="center" vertical="center"/>
    </xf>
    <xf numFmtId="166" fontId="0" fillId="0" borderId="47" xfId="0" applyNumberFormat="1" applyBorder="1" applyAlignment="1">
      <alignment horizontal="center" vertical="center"/>
    </xf>
    <xf numFmtId="166" fontId="0" fillId="0" borderId="66" xfId="0" applyNumberFormat="1" applyBorder="1" applyAlignment="1">
      <alignment horizontal="center" vertical="center"/>
    </xf>
    <xf numFmtId="0" fontId="0" fillId="4" borderId="69" xfId="0" applyFill="1" applyBorder="1" applyAlignment="1">
      <alignment horizontal="center"/>
    </xf>
    <xf numFmtId="0" fontId="0" fillId="4" borderId="70" xfId="0" applyFill="1" applyBorder="1" applyAlignment="1">
      <alignment horizontal="center"/>
    </xf>
    <xf numFmtId="0" fontId="0" fillId="4" borderId="68" xfId="0" applyFill="1" applyBorder="1" applyAlignment="1">
      <alignment horizontal="center"/>
    </xf>
    <xf numFmtId="0" fontId="0" fillId="4" borderId="65" xfId="0" applyFill="1" applyBorder="1" applyAlignment="1">
      <alignment horizontal="center" wrapText="1"/>
    </xf>
    <xf numFmtId="0" fontId="0" fillId="4" borderId="27" xfId="0" applyFill="1" applyBorder="1" applyAlignment="1">
      <alignment horizontal="center" wrapText="1"/>
    </xf>
    <xf numFmtId="0" fontId="0" fillId="4" borderId="13" xfId="0" applyFill="1" applyBorder="1" applyAlignment="1">
      <alignment horizontal="center" wrapText="1"/>
    </xf>
    <xf numFmtId="0" fontId="0" fillId="0" borderId="71" xfId="0" applyBorder="1"/>
    <xf numFmtId="0" fontId="0" fillId="7" borderId="66" xfId="0" applyNumberFormat="1" applyFill="1" applyBorder="1" applyAlignment="1">
      <alignment horizontal="right"/>
    </xf>
  </cellXfs>
  <cellStyles count="6">
    <cellStyle name="Huomautus" xfId="5" builtinId="10"/>
    <cellStyle name="Normaali" xfId="0" builtinId="0"/>
    <cellStyle name="Normaali 2" xfId="2" xr:uid="{603E74B4-1338-403E-A40D-6F0A40369095}"/>
    <cellStyle name="Normalny_conts" xfId="3" xr:uid="{BD5C5B91-C4E9-45EE-A42B-6B6978E037A8}"/>
    <cellStyle name="Prosenttia" xfId="1" builtinId="5"/>
    <cellStyle name="Valkoinen" xfId="4" xr:uid="{BB98C16F-022D-4001-9598-914B23BE4E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8</xdr:col>
      <xdr:colOff>164976</xdr:colOff>
      <xdr:row>50</xdr:row>
      <xdr:rowOff>48981</xdr:rowOff>
    </xdr:to>
    <xdr:pic>
      <xdr:nvPicPr>
        <xdr:cNvPr id="5" name="Kuva 4">
          <a:extLst>
            <a:ext uri="{FF2B5EF4-FFF2-40B4-BE49-F238E27FC236}">
              <a16:creationId xmlns:a16="http://schemas.microsoft.com/office/drawing/2014/main" id="{B19D4BD4-511A-4DA1-9F13-FABF95A6C108}"/>
            </a:ext>
          </a:extLst>
        </xdr:cNvPr>
        <xdr:cNvPicPr>
          <a:picLocks noChangeAspect="1"/>
        </xdr:cNvPicPr>
      </xdr:nvPicPr>
      <xdr:blipFill>
        <a:blip xmlns:r="http://schemas.openxmlformats.org/officeDocument/2006/relationships" r:embed="rId1"/>
        <a:stretch>
          <a:fillRect/>
        </a:stretch>
      </xdr:blipFill>
      <xdr:spPr>
        <a:xfrm>
          <a:off x="609600" y="3867150"/>
          <a:ext cx="4432176" cy="5389331"/>
        </a:xfrm>
        <a:prstGeom prst="rect">
          <a:avLst/>
        </a:prstGeom>
      </xdr:spPr>
    </xdr:pic>
    <xdr:clientData/>
  </xdr:twoCellAnchor>
  <xdr:twoCellAnchor editAs="oneCell">
    <xdr:from>
      <xdr:col>1</xdr:col>
      <xdr:colOff>0</xdr:colOff>
      <xdr:row>3</xdr:row>
      <xdr:rowOff>0</xdr:rowOff>
    </xdr:from>
    <xdr:to>
      <xdr:col>8</xdr:col>
      <xdr:colOff>520700</xdr:colOff>
      <xdr:row>17</xdr:row>
      <xdr:rowOff>179173</xdr:rowOff>
    </xdr:to>
    <xdr:pic>
      <xdr:nvPicPr>
        <xdr:cNvPr id="4" name="Kuva 3">
          <a:extLst>
            <a:ext uri="{FF2B5EF4-FFF2-40B4-BE49-F238E27FC236}">
              <a16:creationId xmlns:a16="http://schemas.microsoft.com/office/drawing/2014/main" id="{4B1A7ADA-AFD4-4D4B-9870-92A35F6023FA}"/>
            </a:ext>
          </a:extLst>
        </xdr:cNvPr>
        <xdr:cNvPicPr>
          <a:picLocks noChangeAspect="1"/>
        </xdr:cNvPicPr>
      </xdr:nvPicPr>
      <xdr:blipFill>
        <a:blip xmlns:r="http://schemas.openxmlformats.org/officeDocument/2006/relationships" r:embed="rId2"/>
        <a:stretch>
          <a:fillRect/>
        </a:stretch>
      </xdr:blipFill>
      <xdr:spPr>
        <a:xfrm>
          <a:off x="609600" y="552450"/>
          <a:ext cx="4787900" cy="2757273"/>
        </a:xfrm>
        <a:prstGeom prst="rect">
          <a:avLst/>
        </a:prstGeom>
      </xdr:spPr>
    </xdr:pic>
    <xdr:clientData/>
  </xdr:twoCellAnchor>
  <xdr:twoCellAnchor editAs="oneCell">
    <xdr:from>
      <xdr:col>1</xdr:col>
      <xdr:colOff>6350</xdr:colOff>
      <xdr:row>52</xdr:row>
      <xdr:rowOff>120650</xdr:rowOff>
    </xdr:from>
    <xdr:to>
      <xdr:col>8</xdr:col>
      <xdr:colOff>329836</xdr:colOff>
      <xdr:row>67</xdr:row>
      <xdr:rowOff>114031</xdr:rowOff>
    </xdr:to>
    <xdr:pic>
      <xdr:nvPicPr>
        <xdr:cNvPr id="6" name="Kuva 5">
          <a:extLst>
            <a:ext uri="{FF2B5EF4-FFF2-40B4-BE49-F238E27FC236}">
              <a16:creationId xmlns:a16="http://schemas.microsoft.com/office/drawing/2014/main" id="{C6C0D8C5-EA81-4257-9743-CCCB62F7D5BA}"/>
            </a:ext>
          </a:extLst>
        </xdr:cNvPr>
        <xdr:cNvPicPr>
          <a:picLocks noChangeAspect="1"/>
        </xdr:cNvPicPr>
      </xdr:nvPicPr>
      <xdr:blipFill>
        <a:blip xmlns:r="http://schemas.openxmlformats.org/officeDocument/2006/relationships" r:embed="rId3"/>
        <a:stretch>
          <a:fillRect/>
        </a:stretch>
      </xdr:blipFill>
      <xdr:spPr>
        <a:xfrm>
          <a:off x="615950" y="9696450"/>
          <a:ext cx="4590686" cy="2755631"/>
        </a:xfrm>
        <a:prstGeom prst="rect">
          <a:avLst/>
        </a:prstGeom>
      </xdr:spPr>
    </xdr:pic>
    <xdr:clientData/>
  </xdr:twoCellAnchor>
  <xdr:twoCellAnchor editAs="oneCell">
    <xdr:from>
      <xdr:col>1</xdr:col>
      <xdr:colOff>0</xdr:colOff>
      <xdr:row>71</xdr:row>
      <xdr:rowOff>0</xdr:rowOff>
    </xdr:from>
    <xdr:to>
      <xdr:col>10</xdr:col>
      <xdr:colOff>0</xdr:colOff>
      <xdr:row>94</xdr:row>
      <xdr:rowOff>165667</xdr:rowOff>
    </xdr:to>
    <xdr:pic>
      <xdr:nvPicPr>
        <xdr:cNvPr id="13" name="Kuva 12">
          <a:extLst>
            <a:ext uri="{FF2B5EF4-FFF2-40B4-BE49-F238E27FC236}">
              <a16:creationId xmlns:a16="http://schemas.microsoft.com/office/drawing/2014/main" id="{02DF8997-7403-4C94-B10B-D540FECEAE13}"/>
            </a:ext>
          </a:extLst>
        </xdr:cNvPr>
        <xdr:cNvPicPr>
          <a:picLocks noChangeAspect="1"/>
        </xdr:cNvPicPr>
      </xdr:nvPicPr>
      <xdr:blipFill>
        <a:blip xmlns:r="http://schemas.openxmlformats.org/officeDocument/2006/relationships" r:embed="rId4"/>
        <a:stretch>
          <a:fillRect/>
        </a:stretch>
      </xdr:blipFill>
      <xdr:spPr>
        <a:xfrm>
          <a:off x="609600" y="13074650"/>
          <a:ext cx="5486400" cy="4401117"/>
        </a:xfrm>
        <a:prstGeom prst="rect">
          <a:avLst/>
        </a:prstGeom>
      </xdr:spPr>
    </xdr:pic>
    <xdr:clientData/>
  </xdr:twoCellAnchor>
  <xdr:twoCellAnchor editAs="oneCell">
    <xdr:from>
      <xdr:col>1</xdr:col>
      <xdr:colOff>6349</xdr:colOff>
      <xdr:row>97</xdr:row>
      <xdr:rowOff>177800</xdr:rowOff>
    </xdr:from>
    <xdr:to>
      <xdr:col>10</xdr:col>
      <xdr:colOff>423266</xdr:colOff>
      <xdr:row>131</xdr:row>
      <xdr:rowOff>25400</xdr:rowOff>
    </xdr:to>
    <xdr:pic>
      <xdr:nvPicPr>
        <xdr:cNvPr id="15" name="Kuva 14">
          <a:extLst>
            <a:ext uri="{FF2B5EF4-FFF2-40B4-BE49-F238E27FC236}">
              <a16:creationId xmlns:a16="http://schemas.microsoft.com/office/drawing/2014/main" id="{FE1EC49C-475D-4B0C-A8B7-BA3A28AEE39F}"/>
            </a:ext>
          </a:extLst>
        </xdr:cNvPr>
        <xdr:cNvPicPr>
          <a:picLocks noChangeAspect="1"/>
        </xdr:cNvPicPr>
      </xdr:nvPicPr>
      <xdr:blipFill>
        <a:blip xmlns:r="http://schemas.openxmlformats.org/officeDocument/2006/relationships" r:embed="rId5"/>
        <a:stretch>
          <a:fillRect/>
        </a:stretch>
      </xdr:blipFill>
      <xdr:spPr>
        <a:xfrm>
          <a:off x="615949" y="18040350"/>
          <a:ext cx="5903317" cy="6108700"/>
        </a:xfrm>
        <a:prstGeom prst="rect">
          <a:avLst/>
        </a:prstGeom>
      </xdr:spPr>
    </xdr:pic>
    <xdr:clientData/>
  </xdr:twoCellAnchor>
  <xdr:twoCellAnchor editAs="oneCell">
    <xdr:from>
      <xdr:col>1</xdr:col>
      <xdr:colOff>0</xdr:colOff>
      <xdr:row>134</xdr:row>
      <xdr:rowOff>0</xdr:rowOff>
    </xdr:from>
    <xdr:to>
      <xdr:col>11</xdr:col>
      <xdr:colOff>24914</xdr:colOff>
      <xdr:row>163</xdr:row>
      <xdr:rowOff>116043</xdr:rowOff>
    </xdr:to>
    <xdr:pic>
      <xdr:nvPicPr>
        <xdr:cNvPr id="17" name="Kuva 16">
          <a:extLst>
            <a:ext uri="{FF2B5EF4-FFF2-40B4-BE49-F238E27FC236}">
              <a16:creationId xmlns:a16="http://schemas.microsoft.com/office/drawing/2014/main" id="{0721E758-F1BB-42FA-9442-088D1E48BA16}"/>
            </a:ext>
          </a:extLst>
        </xdr:cNvPr>
        <xdr:cNvPicPr>
          <a:picLocks noChangeAspect="1"/>
        </xdr:cNvPicPr>
      </xdr:nvPicPr>
      <xdr:blipFill>
        <a:blip xmlns:r="http://schemas.openxmlformats.org/officeDocument/2006/relationships" r:embed="rId6"/>
        <a:stretch>
          <a:fillRect/>
        </a:stretch>
      </xdr:blipFill>
      <xdr:spPr>
        <a:xfrm>
          <a:off x="609600" y="24676100"/>
          <a:ext cx="6120914" cy="5456393"/>
        </a:xfrm>
        <a:prstGeom prst="rect">
          <a:avLst/>
        </a:prstGeom>
      </xdr:spPr>
    </xdr:pic>
    <xdr:clientData/>
  </xdr:twoCellAnchor>
  <xdr:twoCellAnchor editAs="oneCell">
    <xdr:from>
      <xdr:col>0</xdr:col>
      <xdr:colOff>590550</xdr:colOff>
      <xdr:row>189</xdr:row>
      <xdr:rowOff>19050</xdr:rowOff>
    </xdr:from>
    <xdr:to>
      <xdr:col>13</xdr:col>
      <xdr:colOff>195940</xdr:colOff>
      <xdr:row>223</xdr:row>
      <xdr:rowOff>62560</xdr:rowOff>
    </xdr:to>
    <xdr:pic>
      <xdr:nvPicPr>
        <xdr:cNvPr id="20" name="Kuva 19">
          <a:extLst>
            <a:ext uri="{FF2B5EF4-FFF2-40B4-BE49-F238E27FC236}">
              <a16:creationId xmlns:a16="http://schemas.microsoft.com/office/drawing/2014/main" id="{233E5ABB-256F-486D-99C1-FCBF0DBD5075}"/>
            </a:ext>
          </a:extLst>
        </xdr:cNvPr>
        <xdr:cNvPicPr>
          <a:picLocks noChangeAspect="1"/>
        </xdr:cNvPicPr>
      </xdr:nvPicPr>
      <xdr:blipFill>
        <a:blip xmlns:r="http://schemas.openxmlformats.org/officeDocument/2006/relationships" r:embed="rId7"/>
        <a:stretch>
          <a:fillRect/>
        </a:stretch>
      </xdr:blipFill>
      <xdr:spPr>
        <a:xfrm>
          <a:off x="590550" y="35375850"/>
          <a:ext cx="7530190" cy="6304610"/>
        </a:xfrm>
        <a:prstGeom prst="rect">
          <a:avLst/>
        </a:prstGeom>
      </xdr:spPr>
    </xdr:pic>
    <xdr:clientData/>
  </xdr:twoCellAnchor>
  <xdr:twoCellAnchor editAs="oneCell">
    <xdr:from>
      <xdr:col>1</xdr:col>
      <xdr:colOff>12700</xdr:colOff>
      <xdr:row>166</xdr:row>
      <xdr:rowOff>166970</xdr:rowOff>
    </xdr:from>
    <xdr:to>
      <xdr:col>12</xdr:col>
      <xdr:colOff>177800</xdr:colOff>
      <xdr:row>185</xdr:row>
      <xdr:rowOff>6350</xdr:rowOff>
    </xdr:to>
    <xdr:pic>
      <xdr:nvPicPr>
        <xdr:cNvPr id="21" name="Kuva 20">
          <a:extLst>
            <a:ext uri="{FF2B5EF4-FFF2-40B4-BE49-F238E27FC236}">
              <a16:creationId xmlns:a16="http://schemas.microsoft.com/office/drawing/2014/main" id="{44E61839-188B-40A8-B4E1-2195E3DD0E7E}"/>
            </a:ext>
          </a:extLst>
        </xdr:cNvPr>
        <xdr:cNvPicPr>
          <a:picLocks noChangeAspect="1"/>
        </xdr:cNvPicPr>
      </xdr:nvPicPr>
      <xdr:blipFill>
        <a:blip xmlns:r="http://schemas.openxmlformats.org/officeDocument/2006/relationships" r:embed="rId8"/>
        <a:stretch>
          <a:fillRect/>
        </a:stretch>
      </xdr:blipFill>
      <xdr:spPr>
        <a:xfrm>
          <a:off x="622300" y="30735870"/>
          <a:ext cx="6870700" cy="3338230"/>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21928-9C6C-4103-8A5F-B753805E40A9}">
  <dimension ref="B2:B188"/>
  <sheetViews>
    <sheetView topLeftCell="A221" workbookViewId="0">
      <selection activeCell="N234" sqref="N234"/>
    </sheetView>
  </sheetViews>
  <sheetFormatPr defaultRowHeight="14.5" x14ac:dyDescent="0.35"/>
  <sheetData>
    <row r="2" spans="2:2" x14ac:dyDescent="0.35">
      <c r="B2" s="133" t="s">
        <v>150</v>
      </c>
    </row>
    <row r="20" spans="2:2" x14ac:dyDescent="0.35">
      <c r="B20" s="133" t="s">
        <v>151</v>
      </c>
    </row>
    <row r="52" spans="2:2" x14ac:dyDescent="0.35">
      <c r="B52" s="133" t="s">
        <v>247</v>
      </c>
    </row>
    <row r="53" spans="2:2" x14ac:dyDescent="0.35">
      <c r="B53" s="133"/>
    </row>
    <row r="70" spans="2:2" x14ac:dyDescent="0.35">
      <c r="B70" s="133" t="s">
        <v>152</v>
      </c>
    </row>
    <row r="97" spans="2:2" x14ac:dyDescent="0.35">
      <c r="B97" s="133" t="s">
        <v>153</v>
      </c>
    </row>
    <row r="133" spans="2:2" x14ac:dyDescent="0.35">
      <c r="B133" s="133" t="s">
        <v>154</v>
      </c>
    </row>
    <row r="166" spans="2:2" x14ac:dyDescent="0.35">
      <c r="B166" s="133" t="s">
        <v>155</v>
      </c>
    </row>
    <row r="188" spans="2:2" x14ac:dyDescent="0.35">
      <c r="B188" s="133" t="s">
        <v>248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062E-2ADA-427D-AD78-E4398497EF61}">
  <dimension ref="B2:U42"/>
  <sheetViews>
    <sheetView topLeftCell="A19" zoomScale="65" zoomScaleNormal="130" workbookViewId="0">
      <selection activeCell="F28" sqref="F28"/>
    </sheetView>
  </sheetViews>
  <sheetFormatPr defaultRowHeight="14.5" x14ac:dyDescent="0.35"/>
  <cols>
    <col min="2" max="2" width="24.36328125" customWidth="1"/>
    <col min="3" max="3" width="16.90625" customWidth="1"/>
    <col min="4" max="4" width="18.1796875" customWidth="1"/>
    <col min="5" max="5" width="22.453125" customWidth="1"/>
    <col min="6" max="7" width="17.6328125" customWidth="1"/>
    <col min="9" max="9" width="28.26953125" customWidth="1"/>
    <col min="10" max="10" width="27.81640625" customWidth="1"/>
    <col min="11" max="11" width="28.6328125" customWidth="1"/>
    <col min="13" max="13" width="8.81640625" customWidth="1"/>
    <col min="18" max="18" width="21.54296875" bestFit="1" customWidth="1"/>
    <col min="19" max="19" width="17.54296875" bestFit="1" customWidth="1"/>
    <col min="20" max="20" width="19" bestFit="1" customWidth="1"/>
    <col min="21" max="21" width="23.90625" bestFit="1" customWidth="1"/>
    <col min="22" max="22" width="19" bestFit="1" customWidth="1"/>
  </cols>
  <sheetData>
    <row r="2" spans="2:21" x14ac:dyDescent="0.35">
      <c r="B2" s="133" t="s">
        <v>135</v>
      </c>
      <c r="I2" s="133" t="s">
        <v>148</v>
      </c>
    </row>
    <row r="4" spans="2:21" x14ac:dyDescent="0.35">
      <c r="B4" s="137">
        <v>2016</v>
      </c>
      <c r="C4" s="137">
        <v>2017</v>
      </c>
      <c r="D4" s="137">
        <v>2018</v>
      </c>
      <c r="E4" s="137">
        <v>2019</v>
      </c>
      <c r="F4" s="137">
        <v>2020</v>
      </c>
      <c r="G4" s="137">
        <v>2021</v>
      </c>
      <c r="I4" s="137" t="s">
        <v>0</v>
      </c>
      <c r="J4" s="197" t="s">
        <v>147</v>
      </c>
      <c r="K4" s="197" t="s">
        <v>12</v>
      </c>
    </row>
    <row r="5" spans="2:21" x14ac:dyDescent="0.35">
      <c r="B5" s="134">
        <v>191311</v>
      </c>
      <c r="C5" s="134">
        <v>192540</v>
      </c>
      <c r="D5" s="135" t="s">
        <v>134</v>
      </c>
      <c r="E5" s="136">
        <v>181052</v>
      </c>
      <c r="F5" s="136">
        <v>184308</v>
      </c>
      <c r="G5" s="136">
        <v>180146.37999999998</v>
      </c>
      <c r="I5" s="13" t="s">
        <v>6</v>
      </c>
      <c r="J5" s="13">
        <v>6</v>
      </c>
      <c r="K5" s="13">
        <v>1443</v>
      </c>
      <c r="N5" s="132"/>
      <c r="O5" s="132"/>
      <c r="S5" s="131"/>
      <c r="T5" s="132"/>
      <c r="U5" s="131"/>
    </row>
    <row r="6" spans="2:21" x14ac:dyDescent="0.35">
      <c r="I6" s="13" t="s">
        <v>136</v>
      </c>
      <c r="J6" s="13">
        <v>6</v>
      </c>
      <c r="K6" s="13">
        <v>1834</v>
      </c>
      <c r="N6" s="132"/>
      <c r="O6" s="132"/>
      <c r="S6" s="131"/>
      <c r="T6" s="132"/>
      <c r="U6" s="131"/>
    </row>
    <row r="7" spans="2:21" x14ac:dyDescent="0.35">
      <c r="B7" s="133" t="s">
        <v>140</v>
      </c>
      <c r="I7" s="13" t="s">
        <v>137</v>
      </c>
      <c r="J7" s="13">
        <v>6</v>
      </c>
      <c r="K7" s="13">
        <v>1530</v>
      </c>
      <c r="N7" s="132"/>
      <c r="O7" s="132"/>
      <c r="S7" s="131"/>
      <c r="T7" s="132"/>
      <c r="U7" s="131"/>
    </row>
    <row r="8" spans="2:21" x14ac:dyDescent="0.35">
      <c r="I8" s="13" t="s">
        <v>139</v>
      </c>
      <c r="J8" s="13">
        <v>6</v>
      </c>
      <c r="K8" s="13">
        <v>1571</v>
      </c>
      <c r="N8" s="132"/>
      <c r="O8" s="132"/>
      <c r="S8" s="131"/>
      <c r="T8" s="132"/>
      <c r="U8" s="131"/>
    </row>
    <row r="9" spans="2:21" x14ac:dyDescent="0.35">
      <c r="B9" s="137" t="s">
        <v>0</v>
      </c>
      <c r="C9" s="283" t="s">
        <v>1</v>
      </c>
      <c r="D9" s="284"/>
      <c r="E9" s="284"/>
      <c r="F9" s="284"/>
      <c r="G9" s="285"/>
      <c r="I9" s="13" t="s">
        <v>9</v>
      </c>
      <c r="J9" s="13">
        <v>12</v>
      </c>
      <c r="K9" s="13">
        <v>1736</v>
      </c>
      <c r="N9" s="132"/>
      <c r="O9" s="132"/>
      <c r="S9" s="131"/>
      <c r="T9" s="132"/>
      <c r="U9" s="131"/>
    </row>
    <row r="10" spans="2:21" x14ac:dyDescent="0.35">
      <c r="B10" s="13" t="s">
        <v>6</v>
      </c>
      <c r="C10" s="280" t="s">
        <v>7</v>
      </c>
      <c r="D10" s="281"/>
      <c r="E10" s="281"/>
      <c r="F10" s="281"/>
      <c r="G10" s="282"/>
      <c r="T10" s="132"/>
      <c r="U10" s="131"/>
    </row>
    <row r="11" spans="2:21" x14ac:dyDescent="0.35">
      <c r="B11" s="13" t="s">
        <v>136</v>
      </c>
      <c r="C11" s="280" t="s">
        <v>7</v>
      </c>
      <c r="D11" s="281"/>
      <c r="E11" s="281"/>
      <c r="F11" s="281"/>
      <c r="G11" s="282"/>
      <c r="I11" s="133" t="s">
        <v>149</v>
      </c>
    </row>
    <row r="12" spans="2:21" x14ac:dyDescent="0.35">
      <c r="B12" s="13" t="s">
        <v>137</v>
      </c>
      <c r="C12" s="280" t="s">
        <v>138</v>
      </c>
      <c r="D12" s="281"/>
      <c r="E12" s="281"/>
      <c r="F12" s="281"/>
      <c r="G12" s="282"/>
    </row>
    <row r="13" spans="2:21" x14ac:dyDescent="0.35">
      <c r="B13" s="13" t="s">
        <v>139</v>
      </c>
      <c r="C13" s="280" t="s">
        <v>138</v>
      </c>
      <c r="D13" s="281"/>
      <c r="E13" s="281"/>
      <c r="F13" s="281"/>
      <c r="G13" s="282"/>
      <c r="I13" s="137" t="s">
        <v>0</v>
      </c>
      <c r="J13" s="137" t="s">
        <v>13</v>
      </c>
      <c r="K13" s="137" t="s">
        <v>14</v>
      </c>
    </row>
    <row r="14" spans="2:21" x14ac:dyDescent="0.35">
      <c r="B14" s="13" t="s">
        <v>9</v>
      </c>
      <c r="C14" s="280" t="s">
        <v>138</v>
      </c>
      <c r="D14" s="281"/>
      <c r="E14" s="281"/>
      <c r="F14" s="281"/>
      <c r="G14" s="282"/>
      <c r="I14" s="13" t="s">
        <v>6</v>
      </c>
      <c r="J14" s="13">
        <v>629</v>
      </c>
      <c r="K14" s="13">
        <v>576</v>
      </c>
    </row>
    <row r="15" spans="2:21" x14ac:dyDescent="0.35">
      <c r="I15" s="13" t="s">
        <v>136</v>
      </c>
      <c r="J15" s="13">
        <v>744</v>
      </c>
      <c r="K15" s="13">
        <v>733</v>
      </c>
    </row>
    <row r="16" spans="2:21" x14ac:dyDescent="0.35">
      <c r="B16" s="133" t="s">
        <v>146</v>
      </c>
      <c r="I16" s="13" t="s">
        <v>137</v>
      </c>
      <c r="J16" s="13">
        <v>669</v>
      </c>
      <c r="K16" s="13">
        <v>641</v>
      </c>
    </row>
    <row r="17" spans="2:15" x14ac:dyDescent="0.35">
      <c r="I17" s="13" t="s">
        <v>139</v>
      </c>
      <c r="J17" s="13">
        <v>729</v>
      </c>
      <c r="K17" s="13">
        <v>695</v>
      </c>
    </row>
    <row r="18" spans="2:15" x14ac:dyDescent="0.35">
      <c r="B18" s="137" t="s">
        <v>0</v>
      </c>
      <c r="C18" s="137" t="s">
        <v>2</v>
      </c>
      <c r="D18" s="137" t="s">
        <v>3</v>
      </c>
      <c r="E18" s="137" t="s">
        <v>4</v>
      </c>
      <c r="F18" s="137" t="s">
        <v>5</v>
      </c>
      <c r="I18" s="13" t="s">
        <v>9</v>
      </c>
      <c r="J18" s="13">
        <v>964</v>
      </c>
      <c r="K18" s="13">
        <v>964</v>
      </c>
    </row>
    <row r="19" spans="2:15" x14ac:dyDescent="0.35">
      <c r="B19" s="13" t="s">
        <v>8</v>
      </c>
      <c r="C19" s="134">
        <v>99836</v>
      </c>
      <c r="D19" s="198">
        <v>8.5999999999999993E-2</v>
      </c>
      <c r="E19" s="134">
        <v>38616</v>
      </c>
      <c r="F19" s="13">
        <v>2.6</v>
      </c>
    </row>
    <row r="20" spans="2:15" x14ac:dyDescent="0.35">
      <c r="B20" s="13" t="s">
        <v>141</v>
      </c>
      <c r="C20" s="134">
        <v>98560</v>
      </c>
      <c r="D20" s="198">
        <v>8.5000000000000006E-2</v>
      </c>
      <c r="E20" s="134">
        <v>41806</v>
      </c>
      <c r="F20" s="13">
        <v>2.4</v>
      </c>
      <c r="I20" s="133" t="s">
        <v>269</v>
      </c>
    </row>
    <row r="21" spans="2:15" x14ac:dyDescent="0.35">
      <c r="B21" s="13" t="s">
        <v>142</v>
      </c>
      <c r="C21" s="134">
        <v>51519</v>
      </c>
      <c r="D21" s="198">
        <v>4.3999999999999997E-2</v>
      </c>
      <c r="E21" s="134">
        <v>22398</v>
      </c>
      <c r="F21" s="13">
        <v>2.2999999999999998</v>
      </c>
    </row>
    <row r="22" spans="2:15" x14ac:dyDescent="0.35">
      <c r="B22" s="13" t="s">
        <v>143</v>
      </c>
      <c r="C22" s="134">
        <v>78761</v>
      </c>
      <c r="D22" s="198">
        <v>6.8000000000000005E-2</v>
      </c>
      <c r="E22" s="134">
        <v>38089</v>
      </c>
      <c r="F22" s="13">
        <v>2.1</v>
      </c>
      <c r="I22" s="270" t="s">
        <v>249</v>
      </c>
      <c r="J22" s="271"/>
      <c r="K22" s="274" t="s">
        <v>250</v>
      </c>
      <c r="L22" s="275"/>
      <c r="M22" s="275"/>
      <c r="N22" s="275"/>
      <c r="O22" s="276"/>
    </row>
    <row r="23" spans="2:15" x14ac:dyDescent="0.35">
      <c r="B23" s="13" t="s">
        <v>10</v>
      </c>
      <c r="C23" s="134">
        <v>830552</v>
      </c>
      <c r="D23" s="198">
        <v>0.71599999999999997</v>
      </c>
      <c r="E23" s="134">
        <v>505644</v>
      </c>
      <c r="F23" s="13">
        <v>1.6</v>
      </c>
      <c r="I23" s="272"/>
      <c r="J23" s="273"/>
      <c r="K23" s="209">
        <v>2007</v>
      </c>
      <c r="L23" s="209">
        <v>2012</v>
      </c>
      <c r="M23" s="209">
        <v>2015</v>
      </c>
      <c r="N23" s="209">
        <v>2018</v>
      </c>
      <c r="O23" s="209">
        <v>2021</v>
      </c>
    </row>
    <row r="24" spans="2:15" x14ac:dyDescent="0.35">
      <c r="B24" s="13" t="s">
        <v>11</v>
      </c>
      <c r="C24" s="135" t="s">
        <v>144</v>
      </c>
      <c r="D24" s="199">
        <v>1</v>
      </c>
      <c r="E24" s="135" t="s">
        <v>145</v>
      </c>
      <c r="F24" s="13">
        <v>1.8</v>
      </c>
      <c r="I24" s="277" t="s">
        <v>251</v>
      </c>
      <c r="J24" s="278"/>
      <c r="K24" s="210">
        <f>K25+K26</f>
        <v>68.7</v>
      </c>
      <c r="L24" s="210">
        <f>L25+L26</f>
        <v>61.3</v>
      </c>
      <c r="M24" s="210">
        <v>58.4</v>
      </c>
      <c r="N24" s="210">
        <v>52.7</v>
      </c>
      <c r="O24" s="210">
        <v>51.1</v>
      </c>
    </row>
    <row r="25" spans="2:15" x14ac:dyDescent="0.35">
      <c r="I25" s="216"/>
      <c r="J25" s="13" t="s">
        <v>252</v>
      </c>
      <c r="K25" s="13">
        <v>42.1</v>
      </c>
      <c r="L25" s="13">
        <v>44.5</v>
      </c>
      <c r="M25" s="13">
        <f>34.6+6.8</f>
        <v>41.4</v>
      </c>
      <c r="N25" s="211">
        <f>20.53+25.16</f>
        <v>45.69</v>
      </c>
      <c r="O25" s="13">
        <v>43.1</v>
      </c>
    </row>
    <row r="26" spans="2:15" x14ac:dyDescent="0.35">
      <c r="B26" s="133"/>
      <c r="D26" s="131"/>
      <c r="I26" s="216"/>
      <c r="J26" s="13" t="s">
        <v>253</v>
      </c>
      <c r="K26" s="13">
        <f>21.2+5.4</f>
        <v>26.6</v>
      </c>
      <c r="L26" s="13">
        <f>12.2+4.6</f>
        <v>16.799999999999997</v>
      </c>
      <c r="M26" s="13">
        <f>6.8+1.4+5.9+1+1.9</f>
        <v>17</v>
      </c>
      <c r="N26" s="211">
        <f>N24-N25</f>
        <v>7.0100000000000051</v>
      </c>
      <c r="O26" s="13">
        <v>8</v>
      </c>
    </row>
    <row r="27" spans="2:15" x14ac:dyDescent="0.35">
      <c r="D27" s="131"/>
      <c r="E27" s="131"/>
      <c r="I27" s="277" t="s">
        <v>254</v>
      </c>
      <c r="J27" s="278"/>
      <c r="K27" s="210">
        <f>K28+K29</f>
        <v>17.7</v>
      </c>
      <c r="L27" s="210">
        <f>L28+L29</f>
        <v>19.5</v>
      </c>
      <c r="M27" s="210">
        <v>21.3</v>
      </c>
      <c r="N27" s="212">
        <v>15.75</v>
      </c>
      <c r="O27" s="210">
        <v>11.5</v>
      </c>
    </row>
    <row r="28" spans="2:15" x14ac:dyDescent="0.35">
      <c r="E28" s="131"/>
      <c r="I28" s="216"/>
      <c r="J28" s="213" t="s">
        <v>255</v>
      </c>
      <c r="K28" s="213">
        <v>5.2</v>
      </c>
      <c r="L28" s="213">
        <v>8.1</v>
      </c>
      <c r="M28" s="213">
        <f>6.4+0.9</f>
        <v>7.3000000000000007</v>
      </c>
      <c r="N28" s="214">
        <v>6.55</v>
      </c>
      <c r="O28" s="213">
        <v>6.7</v>
      </c>
    </row>
    <row r="29" spans="2:15" x14ac:dyDescent="0.35">
      <c r="E29" s="131"/>
      <c r="I29" s="216"/>
      <c r="J29" s="213" t="s">
        <v>256</v>
      </c>
      <c r="K29" s="213">
        <v>12.5</v>
      </c>
      <c r="L29" s="213">
        <v>11.4</v>
      </c>
      <c r="M29" s="213">
        <f>8.5+1</f>
        <v>9.5</v>
      </c>
      <c r="N29" s="214">
        <v>7.04</v>
      </c>
      <c r="O29" s="213">
        <v>2.5</v>
      </c>
    </row>
    <row r="30" spans="2:15" x14ac:dyDescent="0.35">
      <c r="I30" s="216"/>
      <c r="J30" s="213" t="s">
        <v>15</v>
      </c>
      <c r="K30" s="213"/>
      <c r="L30" s="213"/>
      <c r="M30" s="213">
        <f>2.2+1.3+0.9</f>
        <v>4.4000000000000004</v>
      </c>
      <c r="N30" s="213">
        <v>2.2000000000000002</v>
      </c>
      <c r="O30" s="213">
        <v>2.2999999999999998</v>
      </c>
    </row>
    <row r="31" spans="2:15" x14ac:dyDescent="0.35">
      <c r="I31" s="277" t="s">
        <v>257</v>
      </c>
      <c r="J31" s="278"/>
      <c r="K31" s="210">
        <f>0.7+13.9+1.1</f>
        <v>15.7</v>
      </c>
      <c r="L31" s="210">
        <f>0.9+14.1+3.8</f>
        <v>18.8</v>
      </c>
      <c r="M31" s="210">
        <v>13.3</v>
      </c>
      <c r="N31" s="210">
        <v>9.4</v>
      </c>
      <c r="O31" s="210">
        <v>9.4</v>
      </c>
    </row>
    <row r="32" spans="2:15" x14ac:dyDescent="0.35">
      <c r="I32" s="277" t="s">
        <v>258</v>
      </c>
      <c r="J32" s="278"/>
      <c r="K32" s="210">
        <v>3.8</v>
      </c>
      <c r="L32" s="210">
        <v>3.4</v>
      </c>
      <c r="M32" s="210">
        <v>2.5</v>
      </c>
      <c r="N32" s="210">
        <v>2.4</v>
      </c>
      <c r="O32" s="210">
        <v>2.6</v>
      </c>
    </row>
    <row r="33" spans="9:15" x14ac:dyDescent="0.35">
      <c r="I33" s="217" t="s">
        <v>259</v>
      </c>
      <c r="J33" s="218"/>
      <c r="K33" s="210">
        <v>25.5</v>
      </c>
      <c r="L33" s="210">
        <v>31.8</v>
      </c>
      <c r="M33" s="210">
        <v>28.4</v>
      </c>
      <c r="N33" s="210">
        <v>21.7</v>
      </c>
      <c r="O33" s="210">
        <v>17.5</v>
      </c>
    </row>
    <row r="34" spans="9:15" x14ac:dyDescent="0.35">
      <c r="I34" s="216"/>
      <c r="J34" s="13" t="s">
        <v>260</v>
      </c>
      <c r="K34" s="13"/>
      <c r="L34" s="13"/>
      <c r="M34" s="13">
        <v>25.5</v>
      </c>
      <c r="N34" s="13">
        <v>16.5</v>
      </c>
      <c r="O34" s="13">
        <v>13.3</v>
      </c>
    </row>
    <row r="35" spans="9:15" x14ac:dyDescent="0.35">
      <c r="I35" s="216"/>
      <c r="J35" s="13" t="s">
        <v>261</v>
      </c>
      <c r="K35" s="13"/>
      <c r="L35" s="13"/>
      <c r="M35" s="13">
        <v>3</v>
      </c>
      <c r="N35" s="13">
        <v>5.2</v>
      </c>
      <c r="O35" s="13">
        <v>4.2</v>
      </c>
    </row>
    <row r="36" spans="9:15" x14ac:dyDescent="0.35">
      <c r="I36" s="279" t="s">
        <v>262</v>
      </c>
      <c r="J36" s="279"/>
      <c r="K36" s="210">
        <v>6.3</v>
      </c>
      <c r="L36" s="210">
        <v>4.0999999999999996</v>
      </c>
      <c r="M36" s="210">
        <v>4.3</v>
      </c>
      <c r="N36" s="210">
        <v>4.5999999999999996</v>
      </c>
      <c r="O36" s="210">
        <v>4.0999999999999996</v>
      </c>
    </row>
    <row r="37" spans="9:15" ht="15" customHeight="1" x14ac:dyDescent="0.35">
      <c r="I37" s="279" t="s">
        <v>263</v>
      </c>
      <c r="J37" s="279"/>
      <c r="K37" s="210">
        <v>5.4</v>
      </c>
      <c r="L37" s="210">
        <v>5.3</v>
      </c>
      <c r="M37" s="210">
        <v>4.5</v>
      </c>
      <c r="N37" s="210">
        <v>3.3</v>
      </c>
      <c r="O37" s="210">
        <v>3.7</v>
      </c>
    </row>
    <row r="38" spans="9:15" ht="15.75" customHeight="1" x14ac:dyDescent="0.35">
      <c r="I38" s="279" t="s">
        <v>264</v>
      </c>
      <c r="J38" s="279"/>
      <c r="K38" s="210">
        <v>8.9</v>
      </c>
      <c r="L38" s="210">
        <v>10.199999999999999</v>
      </c>
      <c r="M38" s="210">
        <v>8.9</v>
      </c>
      <c r="N38" s="210">
        <v>9.5</v>
      </c>
      <c r="O38" s="210">
        <v>8.25</v>
      </c>
    </row>
    <row r="39" spans="9:15" x14ac:dyDescent="0.35">
      <c r="I39" s="279" t="s">
        <v>265</v>
      </c>
      <c r="J39" s="279"/>
      <c r="K39" s="210">
        <v>1.3</v>
      </c>
      <c r="L39" s="210">
        <v>1.5</v>
      </c>
      <c r="M39" s="210">
        <v>1.4</v>
      </c>
      <c r="N39" s="210">
        <v>1.9</v>
      </c>
      <c r="O39" s="210">
        <v>1.2</v>
      </c>
    </row>
    <row r="40" spans="9:15" x14ac:dyDescent="0.35">
      <c r="I40" s="279" t="s">
        <v>266</v>
      </c>
      <c r="J40" s="279"/>
      <c r="K40" s="210">
        <v>0.5</v>
      </c>
      <c r="L40" s="210">
        <v>1.4</v>
      </c>
      <c r="M40" s="210">
        <v>0.7</v>
      </c>
      <c r="N40" s="210">
        <v>0.5</v>
      </c>
      <c r="O40" s="210">
        <v>0.8</v>
      </c>
    </row>
    <row r="41" spans="9:15" x14ac:dyDescent="0.35">
      <c r="I41" s="279" t="s">
        <v>267</v>
      </c>
      <c r="J41" s="279"/>
      <c r="K41" s="210">
        <f>1+10.6+2.6+3.2</f>
        <v>17.399999999999999</v>
      </c>
      <c r="L41" s="210">
        <f>0.6+12.5+3.3+2.1</f>
        <v>18.5</v>
      </c>
      <c r="M41" s="210">
        <v>33.200000000000003</v>
      </c>
      <c r="N41" s="210">
        <v>22.4</v>
      </c>
      <c r="O41" s="210">
        <v>19.600000000000001</v>
      </c>
    </row>
    <row r="42" spans="9:15" x14ac:dyDescent="0.35">
      <c r="I42" s="268" t="s">
        <v>268</v>
      </c>
      <c r="J42" s="269"/>
      <c r="K42" s="215">
        <f>SUM(K28:K41)+K24</f>
        <v>171.2</v>
      </c>
      <c r="L42" s="215">
        <f>SUM(L28:L41)+L24</f>
        <v>175.8</v>
      </c>
      <c r="M42" s="215">
        <v>177</v>
      </c>
      <c r="N42" s="215">
        <v>144.1</v>
      </c>
      <c r="O42" s="215">
        <v>129.9</v>
      </c>
    </row>
  </sheetData>
  <mergeCells count="19">
    <mergeCell ref="C14:G14"/>
    <mergeCell ref="C9:G9"/>
    <mergeCell ref="C10:G10"/>
    <mergeCell ref="C11:G11"/>
    <mergeCell ref="C12:G12"/>
    <mergeCell ref="C13:G13"/>
    <mergeCell ref="I42:J42"/>
    <mergeCell ref="I22:J23"/>
    <mergeCell ref="K22:O22"/>
    <mergeCell ref="I27:J27"/>
    <mergeCell ref="I24:J24"/>
    <mergeCell ref="I32:J32"/>
    <mergeCell ref="I37:J37"/>
    <mergeCell ref="I38:J38"/>
    <mergeCell ref="I39:J39"/>
    <mergeCell ref="I40:J40"/>
    <mergeCell ref="I41:J41"/>
    <mergeCell ref="I36:J36"/>
    <mergeCell ref="I31:J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774A9-EE87-4812-8CCB-8683E63463AB}">
  <dimension ref="B1:O53"/>
  <sheetViews>
    <sheetView workbookViewId="0">
      <selection activeCell="C46" sqref="C46"/>
    </sheetView>
  </sheetViews>
  <sheetFormatPr defaultRowHeight="14.5" x14ac:dyDescent="0.35"/>
  <cols>
    <col min="2" max="2" width="30.36328125" bestFit="1" customWidth="1"/>
    <col min="3" max="3" width="29.453125" customWidth="1"/>
    <col min="4" max="4" width="79.6328125" customWidth="1"/>
  </cols>
  <sheetData>
    <row r="1" spans="2:15" ht="15" thickBot="1" x14ac:dyDescent="0.4">
      <c r="B1" s="286" t="s">
        <v>156</v>
      </c>
      <c r="C1" s="287"/>
      <c r="D1" s="288"/>
    </row>
    <row r="2" spans="2:15" x14ac:dyDescent="0.35">
      <c r="B2" s="294" t="s">
        <v>128</v>
      </c>
      <c r="C2" s="138" t="s">
        <v>51</v>
      </c>
      <c r="D2" s="139" t="s">
        <v>157</v>
      </c>
    </row>
    <row r="3" spans="2:15" ht="42" customHeight="1" x14ac:dyDescent="0.35">
      <c r="B3" s="295"/>
      <c r="C3" s="140" t="s">
        <v>52</v>
      </c>
      <c r="D3" s="141" t="s">
        <v>158</v>
      </c>
    </row>
    <row r="4" spans="2:15" ht="29" customHeight="1" x14ac:dyDescent="0.35">
      <c r="B4" s="296" t="s">
        <v>129</v>
      </c>
      <c r="C4" s="142" t="s">
        <v>55</v>
      </c>
      <c r="D4" s="143" t="s">
        <v>159</v>
      </c>
    </row>
    <row r="5" spans="2:15" x14ac:dyDescent="0.35">
      <c r="B5" s="297"/>
      <c r="C5" s="144" t="s">
        <v>160</v>
      </c>
      <c r="D5" s="145" t="s">
        <v>161</v>
      </c>
    </row>
    <row r="6" spans="2:15" ht="29" x14ac:dyDescent="0.35">
      <c r="B6" s="298"/>
      <c r="C6" s="142" t="s">
        <v>58</v>
      </c>
      <c r="D6" s="145" t="s">
        <v>162</v>
      </c>
      <c r="O6" s="146"/>
    </row>
    <row r="7" spans="2:15" ht="15" thickBot="1" x14ac:dyDescent="0.4">
      <c r="B7" s="147" t="s">
        <v>163</v>
      </c>
      <c r="C7" s="148"/>
      <c r="D7" s="149" t="s">
        <v>164</v>
      </c>
    </row>
    <row r="8" spans="2:15" ht="15" thickBot="1" x14ac:dyDescent="0.4">
      <c r="B8" s="286" t="s">
        <v>165</v>
      </c>
      <c r="C8" s="287"/>
      <c r="D8" s="288"/>
    </row>
    <row r="9" spans="2:15" ht="43.5" x14ac:dyDescent="0.35">
      <c r="B9" s="150" t="s">
        <v>62</v>
      </c>
      <c r="C9" s="151"/>
      <c r="D9" s="152" t="s">
        <v>166</v>
      </c>
    </row>
    <row r="10" spans="2:15" ht="29" x14ac:dyDescent="0.35">
      <c r="B10" s="153" t="s">
        <v>167</v>
      </c>
      <c r="C10" s="154"/>
      <c r="D10" s="155" t="s">
        <v>168</v>
      </c>
    </row>
    <row r="11" spans="2:15" ht="43.5" x14ac:dyDescent="0.35">
      <c r="B11" s="299" t="s">
        <v>64</v>
      </c>
      <c r="C11" s="156" t="s">
        <v>169</v>
      </c>
      <c r="D11" s="157" t="s">
        <v>170</v>
      </c>
    </row>
    <row r="12" spans="2:15" ht="29.5" thickBot="1" x14ac:dyDescent="0.4">
      <c r="B12" s="300"/>
      <c r="C12" s="158" t="s">
        <v>66</v>
      </c>
      <c r="D12" s="149" t="s">
        <v>171</v>
      </c>
    </row>
    <row r="13" spans="2:15" ht="15" thickBot="1" x14ac:dyDescent="0.4">
      <c r="B13" s="286" t="s">
        <v>172</v>
      </c>
      <c r="C13" s="287"/>
      <c r="D13" s="288"/>
    </row>
    <row r="14" spans="2:15" ht="30.65" customHeight="1" x14ac:dyDescent="0.35">
      <c r="B14" s="289" t="s">
        <v>173</v>
      </c>
      <c r="C14" s="159" t="s">
        <v>174</v>
      </c>
      <c r="D14" s="152" t="s">
        <v>175</v>
      </c>
    </row>
    <row r="15" spans="2:15" ht="58" x14ac:dyDescent="0.35">
      <c r="B15" s="301"/>
      <c r="C15" s="160" t="s">
        <v>71</v>
      </c>
      <c r="D15" s="155" t="s">
        <v>176</v>
      </c>
    </row>
    <row r="16" spans="2:15" x14ac:dyDescent="0.35">
      <c r="B16" s="161" t="s">
        <v>177</v>
      </c>
      <c r="C16" s="162"/>
      <c r="D16" s="163" t="s">
        <v>178</v>
      </c>
    </row>
    <row r="17" spans="2:4" ht="44" thickBot="1" x14ac:dyDescent="0.4">
      <c r="B17" s="164" t="s">
        <v>179</v>
      </c>
      <c r="C17" s="165"/>
      <c r="D17" s="149" t="s">
        <v>180</v>
      </c>
    </row>
    <row r="18" spans="2:4" ht="15" thickBot="1" x14ac:dyDescent="0.4">
      <c r="B18" s="286" t="s">
        <v>181</v>
      </c>
      <c r="C18" s="287"/>
      <c r="D18" s="288"/>
    </row>
    <row r="19" spans="2:4" x14ac:dyDescent="0.35">
      <c r="B19" s="166" t="s">
        <v>76</v>
      </c>
      <c r="C19" s="167"/>
      <c r="D19" s="152" t="s">
        <v>182</v>
      </c>
    </row>
    <row r="20" spans="2:4" x14ac:dyDescent="0.35">
      <c r="B20" s="161" t="s">
        <v>183</v>
      </c>
      <c r="C20" s="162"/>
      <c r="D20" s="163" t="s">
        <v>184</v>
      </c>
    </row>
    <row r="21" spans="2:4" ht="43.5" x14ac:dyDescent="0.35">
      <c r="B21" s="290" t="s">
        <v>78</v>
      </c>
      <c r="C21" s="160" t="s">
        <v>79</v>
      </c>
      <c r="D21" s="157" t="s">
        <v>185</v>
      </c>
    </row>
    <row r="22" spans="2:4" ht="44" thickBot="1" x14ac:dyDescent="0.4">
      <c r="B22" s="300"/>
      <c r="C22" s="168" t="s">
        <v>80</v>
      </c>
      <c r="D22" s="149" t="s">
        <v>186</v>
      </c>
    </row>
    <row r="23" spans="2:4" ht="15" thickBot="1" x14ac:dyDescent="0.4">
      <c r="B23" s="286" t="s">
        <v>187</v>
      </c>
      <c r="C23" s="287"/>
      <c r="D23" s="288"/>
    </row>
    <row r="24" spans="2:4" ht="87" x14ac:dyDescent="0.35">
      <c r="B24" s="302" t="s">
        <v>130</v>
      </c>
      <c r="C24" s="169" t="s">
        <v>84</v>
      </c>
      <c r="D24" s="170" t="s">
        <v>188</v>
      </c>
    </row>
    <row r="25" spans="2:4" ht="43.5" x14ac:dyDescent="0.35">
      <c r="B25" s="303"/>
      <c r="C25" s="171" t="s">
        <v>85</v>
      </c>
      <c r="D25" s="172" t="s">
        <v>189</v>
      </c>
    </row>
    <row r="26" spans="2:4" ht="82.5" customHeight="1" x14ac:dyDescent="0.35">
      <c r="B26" s="304" t="s">
        <v>131</v>
      </c>
      <c r="C26" s="173" t="s">
        <v>190</v>
      </c>
      <c r="D26" s="172" t="s">
        <v>191</v>
      </c>
    </row>
    <row r="27" spans="2:4" ht="58.5" thickBot="1" x14ac:dyDescent="0.4">
      <c r="B27" s="305"/>
      <c r="C27" s="174" t="s">
        <v>88</v>
      </c>
      <c r="D27" s="175" t="s">
        <v>192</v>
      </c>
    </row>
    <row r="28" spans="2:4" ht="15" thickBot="1" x14ac:dyDescent="0.4">
      <c r="B28" s="286" t="s">
        <v>193</v>
      </c>
      <c r="C28" s="287"/>
      <c r="D28" s="288"/>
    </row>
    <row r="29" spans="2:4" x14ac:dyDescent="0.35">
      <c r="B29" s="176" t="s">
        <v>91</v>
      </c>
      <c r="C29" s="177"/>
      <c r="D29" s="152" t="s">
        <v>194</v>
      </c>
    </row>
    <row r="30" spans="2:4" ht="58.5" thickBot="1" x14ac:dyDescent="0.4">
      <c r="B30" s="178" t="s">
        <v>195</v>
      </c>
      <c r="C30" s="179"/>
      <c r="D30" s="149" t="s">
        <v>196</v>
      </c>
    </row>
    <row r="31" spans="2:4" ht="15" thickBot="1" x14ac:dyDescent="0.4">
      <c r="B31" s="286" t="s">
        <v>197</v>
      </c>
      <c r="C31" s="287"/>
      <c r="D31" s="288"/>
    </row>
    <row r="32" spans="2:4" ht="29" x14ac:dyDescent="0.35">
      <c r="B32" s="306" t="s">
        <v>95</v>
      </c>
      <c r="C32" s="180" t="s">
        <v>96</v>
      </c>
      <c r="D32" s="152" t="s">
        <v>198</v>
      </c>
    </row>
    <row r="33" spans="2:4" ht="29" x14ac:dyDescent="0.35">
      <c r="B33" s="307"/>
      <c r="C33" s="181" t="s">
        <v>97</v>
      </c>
      <c r="D33" s="157" t="s">
        <v>199</v>
      </c>
    </row>
    <row r="34" spans="2:4" ht="44" thickBot="1" x14ac:dyDescent="0.4">
      <c r="B34" s="178" t="s">
        <v>98</v>
      </c>
      <c r="C34" s="179"/>
      <c r="D34" s="149" t="s">
        <v>200</v>
      </c>
    </row>
    <row r="35" spans="2:4" ht="15" thickBot="1" x14ac:dyDescent="0.4">
      <c r="B35" s="286" t="s">
        <v>201</v>
      </c>
      <c r="C35" s="287"/>
      <c r="D35" s="288"/>
    </row>
    <row r="36" spans="2:4" ht="14.4" customHeight="1" x14ac:dyDescent="0.35">
      <c r="B36" s="150" t="s">
        <v>101</v>
      </c>
      <c r="C36" s="177"/>
      <c r="D36" s="182"/>
    </row>
    <row r="37" spans="2:4" ht="43.5" x14ac:dyDescent="0.35">
      <c r="B37" s="308" t="s">
        <v>132</v>
      </c>
      <c r="C37" s="156" t="s">
        <v>202</v>
      </c>
      <c r="D37" s="157" t="s">
        <v>203</v>
      </c>
    </row>
    <row r="38" spans="2:4" ht="116.5" thickBot="1" x14ac:dyDescent="0.4">
      <c r="B38" s="293"/>
      <c r="C38" s="168" t="s">
        <v>102</v>
      </c>
      <c r="D38" s="149" t="s">
        <v>204</v>
      </c>
    </row>
    <row r="39" spans="2:4" ht="15" thickBot="1" x14ac:dyDescent="0.4">
      <c r="B39" s="286" t="s">
        <v>205</v>
      </c>
      <c r="C39" s="287"/>
      <c r="D39" s="288"/>
    </row>
    <row r="40" spans="2:4" ht="35.25" customHeight="1" x14ac:dyDescent="0.35">
      <c r="B40" s="289" t="s">
        <v>105</v>
      </c>
      <c r="C40" s="183" t="s">
        <v>206</v>
      </c>
      <c r="D40" s="152" t="s">
        <v>207</v>
      </c>
    </row>
    <row r="41" spans="2:4" ht="71.25" customHeight="1" x14ac:dyDescent="0.35">
      <c r="B41" s="290"/>
      <c r="C41" s="184" t="s">
        <v>107</v>
      </c>
      <c r="D41" s="157" t="s">
        <v>208</v>
      </c>
    </row>
    <row r="42" spans="2:4" x14ac:dyDescent="0.35">
      <c r="B42" s="185" t="s">
        <v>209</v>
      </c>
      <c r="C42" s="160"/>
      <c r="D42" s="163" t="s">
        <v>210</v>
      </c>
    </row>
    <row r="43" spans="2:4" ht="15" thickBot="1" x14ac:dyDescent="0.4">
      <c r="B43" s="186" t="s">
        <v>211</v>
      </c>
      <c r="C43" s="168"/>
      <c r="D43" s="187"/>
    </row>
    <row r="44" spans="2:4" ht="15" thickBot="1" x14ac:dyDescent="0.4">
      <c r="B44" s="286" t="s">
        <v>212</v>
      </c>
      <c r="C44" s="287"/>
      <c r="D44" s="288"/>
    </row>
    <row r="45" spans="2:4" x14ac:dyDescent="0.35">
      <c r="B45" s="188" t="s">
        <v>213</v>
      </c>
      <c r="C45" s="177"/>
      <c r="D45" s="182"/>
    </row>
    <row r="46" spans="2:4" ht="207" customHeight="1" thickBot="1" x14ac:dyDescent="0.4">
      <c r="B46" s="189" t="s">
        <v>214</v>
      </c>
      <c r="C46" s="168"/>
      <c r="D46" s="149" t="s">
        <v>215</v>
      </c>
    </row>
    <row r="47" spans="2:4" ht="15" thickBot="1" x14ac:dyDescent="0.4">
      <c r="B47" s="286" t="s">
        <v>216</v>
      </c>
      <c r="C47" s="287"/>
      <c r="D47" s="288"/>
    </row>
    <row r="48" spans="2:4" ht="55.5" customHeight="1" x14ac:dyDescent="0.35">
      <c r="B48" s="190" t="s">
        <v>217</v>
      </c>
      <c r="C48" s="151"/>
      <c r="D48" s="152" t="s">
        <v>218</v>
      </c>
    </row>
    <row r="49" spans="2:4" x14ac:dyDescent="0.35">
      <c r="B49" s="161" t="s">
        <v>117</v>
      </c>
      <c r="C49" s="160"/>
      <c r="D49" s="191" t="s">
        <v>219</v>
      </c>
    </row>
    <row r="50" spans="2:4" ht="59.25" customHeight="1" x14ac:dyDescent="0.35">
      <c r="B50" s="291" t="s">
        <v>118</v>
      </c>
      <c r="C50" s="192" t="s">
        <v>220</v>
      </c>
      <c r="D50" s="157" t="s">
        <v>221</v>
      </c>
    </row>
    <row r="51" spans="2:4" ht="29" x14ac:dyDescent="0.35">
      <c r="B51" s="292"/>
      <c r="C51" s="192" t="s">
        <v>120</v>
      </c>
      <c r="D51" s="191" t="s">
        <v>222</v>
      </c>
    </row>
    <row r="52" spans="2:4" ht="61.25" customHeight="1" x14ac:dyDescent="0.35">
      <c r="B52" s="292"/>
      <c r="C52" s="193" t="s">
        <v>121</v>
      </c>
      <c r="D52" s="194" t="s">
        <v>223</v>
      </c>
    </row>
    <row r="53" spans="2:4" ht="20.399999999999999" customHeight="1" thickBot="1" x14ac:dyDescent="0.4">
      <c r="B53" s="293"/>
      <c r="C53" s="195" t="s">
        <v>224</v>
      </c>
      <c r="D53" s="196" t="s">
        <v>225</v>
      </c>
    </row>
  </sheetData>
  <mergeCells count="22">
    <mergeCell ref="B50:B53"/>
    <mergeCell ref="B1:D1"/>
    <mergeCell ref="B8:D8"/>
    <mergeCell ref="B13:D13"/>
    <mergeCell ref="B18:D18"/>
    <mergeCell ref="B23:D23"/>
    <mergeCell ref="B2:B3"/>
    <mergeCell ref="B4:B6"/>
    <mergeCell ref="B11:B12"/>
    <mergeCell ref="B14:B15"/>
    <mergeCell ref="B21:B22"/>
    <mergeCell ref="B24:B25"/>
    <mergeCell ref="B47:D47"/>
    <mergeCell ref="B26:B27"/>
    <mergeCell ref="B32:B33"/>
    <mergeCell ref="B37:B38"/>
    <mergeCell ref="B44:D44"/>
    <mergeCell ref="B40:B41"/>
    <mergeCell ref="B28:D28"/>
    <mergeCell ref="B31:D31"/>
    <mergeCell ref="B35:D35"/>
    <mergeCell ref="B39:D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E4D0D-CA5A-49D3-91CB-EF486FDA4317}">
  <sheetPr>
    <pageSetUpPr fitToPage="1"/>
  </sheetPr>
  <dimension ref="A1:Q214"/>
  <sheetViews>
    <sheetView zoomScale="92" workbookViewId="0">
      <selection activeCell="A2" sqref="A2"/>
    </sheetView>
  </sheetViews>
  <sheetFormatPr defaultRowHeight="14.5" x14ac:dyDescent="0.35"/>
  <cols>
    <col min="1" max="1" width="13.81640625" customWidth="1"/>
    <col min="2" max="2" width="11" style="201" bestFit="1" customWidth="1"/>
    <col min="3" max="3" width="11" style="120" bestFit="1" customWidth="1"/>
    <col min="4" max="4" width="12.08984375" bestFit="1" customWidth="1"/>
    <col min="5" max="5" width="17.90625" bestFit="1" customWidth="1"/>
    <col min="6" max="6" width="4.81640625" bestFit="1" customWidth="1"/>
    <col min="7" max="7" width="2.81640625" bestFit="1" customWidth="1"/>
    <col min="8" max="8" width="4.81640625" bestFit="1" customWidth="1"/>
    <col min="9" max="9" width="2.81640625" bestFit="1" customWidth="1"/>
    <col min="10" max="10" width="4.81640625" bestFit="1" customWidth="1"/>
    <col min="11" max="11" width="2.81640625" bestFit="1" customWidth="1"/>
    <col min="12" max="12" width="5.81640625" bestFit="1" customWidth="1"/>
    <col min="13" max="13" width="2.81640625" bestFit="1" customWidth="1"/>
    <col min="14" max="14" width="4.81640625" bestFit="1" customWidth="1"/>
    <col min="15" max="15" width="2.81640625" bestFit="1" customWidth="1"/>
    <col min="16" max="16" width="4.81640625" bestFit="1" customWidth="1"/>
    <col min="17" max="17" width="2.81640625" bestFit="1" customWidth="1"/>
  </cols>
  <sheetData>
    <row r="1" spans="1:17" ht="21" x14ac:dyDescent="0.5">
      <c r="A1" s="208" t="s">
        <v>246</v>
      </c>
    </row>
    <row r="2" spans="1:17" x14ac:dyDescent="0.35">
      <c r="A2" s="203" t="s">
        <v>226</v>
      </c>
      <c r="B2" s="203"/>
      <c r="C2" s="203"/>
      <c r="D2" s="203"/>
    </row>
    <row r="3" spans="1:17" x14ac:dyDescent="0.35">
      <c r="A3" s="200" t="s">
        <v>227</v>
      </c>
    </row>
    <row r="4" spans="1:17" x14ac:dyDescent="0.35">
      <c r="A4" s="310" t="s">
        <v>16</v>
      </c>
      <c r="B4" s="312" t="s">
        <v>228</v>
      </c>
      <c r="C4" s="313" t="s">
        <v>229</v>
      </c>
      <c r="D4" s="309" t="s">
        <v>230</v>
      </c>
      <c r="E4" s="309" t="s">
        <v>5</v>
      </c>
      <c r="F4" s="309" t="s">
        <v>231</v>
      </c>
      <c r="G4" s="309"/>
      <c r="H4" s="309" t="s">
        <v>232</v>
      </c>
      <c r="I4" s="309"/>
      <c r="J4" s="309" t="s">
        <v>233</v>
      </c>
      <c r="K4" s="309"/>
      <c r="L4" s="309" t="s">
        <v>234</v>
      </c>
      <c r="M4" s="309"/>
      <c r="N4" s="309" t="s">
        <v>235</v>
      </c>
      <c r="O4" s="309"/>
      <c r="P4" s="309" t="s">
        <v>236</v>
      </c>
      <c r="Q4" s="309"/>
    </row>
    <row r="5" spans="1:17" ht="14.5" customHeight="1" x14ac:dyDescent="0.35">
      <c r="A5" s="311"/>
      <c r="B5" s="312"/>
      <c r="C5" s="313"/>
      <c r="D5" s="309"/>
      <c r="E5" s="309"/>
      <c r="F5" s="202" t="s">
        <v>237</v>
      </c>
      <c r="G5" s="202" t="s">
        <v>238</v>
      </c>
      <c r="H5" s="202" t="s">
        <v>237</v>
      </c>
      <c r="I5" s="202" t="s">
        <v>238</v>
      </c>
      <c r="J5" s="202" t="s">
        <v>237</v>
      </c>
      <c r="K5" s="202" t="s">
        <v>238</v>
      </c>
      <c r="L5" s="202" t="s">
        <v>237</v>
      </c>
      <c r="M5" s="202" t="s">
        <v>238</v>
      </c>
      <c r="N5" s="202" t="s">
        <v>237</v>
      </c>
      <c r="O5" s="202" t="s">
        <v>238</v>
      </c>
      <c r="P5" s="202" t="s">
        <v>237</v>
      </c>
      <c r="Q5" s="202" t="s">
        <v>238</v>
      </c>
    </row>
    <row r="6" spans="1:17" x14ac:dyDescent="0.35">
      <c r="A6" s="203" t="s">
        <v>27</v>
      </c>
      <c r="B6" s="204">
        <v>1</v>
      </c>
      <c r="C6" s="203">
        <v>1119</v>
      </c>
      <c r="D6" s="203">
        <v>3191</v>
      </c>
      <c r="E6" s="205" t="s">
        <v>29</v>
      </c>
      <c r="F6" s="203">
        <v>118</v>
      </c>
      <c r="G6" s="203">
        <v>4</v>
      </c>
      <c r="H6" s="203">
        <v>627</v>
      </c>
      <c r="I6" s="203">
        <v>20</v>
      </c>
      <c r="J6" s="203">
        <v>417</v>
      </c>
      <c r="K6" s="203">
        <v>13</v>
      </c>
      <c r="L6" s="203">
        <v>547</v>
      </c>
      <c r="M6" s="203">
        <v>17</v>
      </c>
      <c r="N6" s="203">
        <v>986</v>
      </c>
      <c r="O6" s="203">
        <v>31</v>
      </c>
      <c r="P6" s="203">
        <v>493</v>
      </c>
      <c r="Q6" s="203">
        <v>15</v>
      </c>
    </row>
    <row r="7" spans="1:17" x14ac:dyDescent="0.35">
      <c r="A7" t="s">
        <v>27</v>
      </c>
      <c r="B7" s="201">
        <v>2</v>
      </c>
      <c r="C7">
        <v>732</v>
      </c>
      <c r="D7">
        <v>1865</v>
      </c>
      <c r="E7" s="129" t="s">
        <v>24</v>
      </c>
      <c r="F7">
        <v>61</v>
      </c>
      <c r="G7">
        <v>3</v>
      </c>
      <c r="H7">
        <v>336</v>
      </c>
      <c r="I7">
        <v>18</v>
      </c>
      <c r="J7">
        <v>248</v>
      </c>
      <c r="K7">
        <v>13</v>
      </c>
      <c r="L7">
        <v>267</v>
      </c>
      <c r="M7">
        <v>14</v>
      </c>
      <c r="N7">
        <v>562</v>
      </c>
      <c r="O7">
        <v>30</v>
      </c>
      <c r="P7">
        <v>388</v>
      </c>
      <c r="Q7">
        <v>21</v>
      </c>
    </row>
    <row r="8" spans="1:17" x14ac:dyDescent="0.35">
      <c r="A8" t="s">
        <v>27</v>
      </c>
      <c r="B8" s="201">
        <v>3</v>
      </c>
      <c r="C8">
        <v>373</v>
      </c>
      <c r="D8">
        <v>930</v>
      </c>
      <c r="E8" s="129" t="s">
        <v>24</v>
      </c>
      <c r="F8">
        <v>27</v>
      </c>
      <c r="G8">
        <v>3</v>
      </c>
      <c r="H8">
        <v>138</v>
      </c>
      <c r="I8">
        <v>15</v>
      </c>
      <c r="J8">
        <v>159</v>
      </c>
      <c r="K8">
        <v>17</v>
      </c>
      <c r="L8">
        <v>88</v>
      </c>
      <c r="M8">
        <v>9</v>
      </c>
      <c r="N8">
        <v>320</v>
      </c>
      <c r="O8">
        <v>34</v>
      </c>
      <c r="P8">
        <v>198</v>
      </c>
      <c r="Q8">
        <v>21</v>
      </c>
    </row>
    <row r="9" spans="1:17" x14ac:dyDescent="0.35">
      <c r="A9" t="s">
        <v>27</v>
      </c>
      <c r="B9" s="201">
        <v>4</v>
      </c>
      <c r="C9">
        <v>1071</v>
      </c>
      <c r="D9">
        <v>2560</v>
      </c>
      <c r="E9" s="129" t="s">
        <v>28</v>
      </c>
      <c r="F9">
        <v>75</v>
      </c>
      <c r="G9">
        <v>3</v>
      </c>
      <c r="H9">
        <v>374</v>
      </c>
      <c r="I9">
        <v>15</v>
      </c>
      <c r="J9">
        <v>359</v>
      </c>
      <c r="K9">
        <v>14</v>
      </c>
      <c r="L9">
        <v>339</v>
      </c>
      <c r="M9">
        <v>13</v>
      </c>
      <c r="N9">
        <v>856</v>
      </c>
      <c r="O9">
        <v>33</v>
      </c>
      <c r="P9">
        <v>554</v>
      </c>
      <c r="Q9">
        <v>22</v>
      </c>
    </row>
    <row r="10" spans="1:17" x14ac:dyDescent="0.35">
      <c r="A10" t="s">
        <v>27</v>
      </c>
      <c r="B10" s="201">
        <v>5</v>
      </c>
      <c r="C10">
        <v>313</v>
      </c>
      <c r="D10">
        <v>742</v>
      </c>
      <c r="E10" s="129" t="s">
        <v>28</v>
      </c>
      <c r="F10">
        <v>14</v>
      </c>
      <c r="G10">
        <v>2</v>
      </c>
      <c r="H10">
        <v>95</v>
      </c>
      <c r="I10">
        <v>13</v>
      </c>
      <c r="J10">
        <v>109</v>
      </c>
      <c r="K10">
        <v>15</v>
      </c>
      <c r="L10">
        <v>65</v>
      </c>
      <c r="M10">
        <v>9</v>
      </c>
      <c r="N10">
        <v>289</v>
      </c>
      <c r="O10">
        <v>39</v>
      </c>
      <c r="P10">
        <v>170</v>
      </c>
      <c r="Q10">
        <v>23</v>
      </c>
    </row>
    <row r="11" spans="1:17" x14ac:dyDescent="0.35">
      <c r="A11" s="203" t="s">
        <v>27</v>
      </c>
      <c r="B11" s="204">
        <v>6</v>
      </c>
      <c r="C11" s="203">
        <v>2423</v>
      </c>
      <c r="D11" s="203">
        <v>6468</v>
      </c>
      <c r="E11" s="205" t="s">
        <v>20</v>
      </c>
      <c r="F11" s="203">
        <v>253</v>
      </c>
      <c r="G11" s="203">
        <v>4</v>
      </c>
      <c r="H11" s="203">
        <v>1005</v>
      </c>
      <c r="I11" s="203">
        <v>16</v>
      </c>
      <c r="J11" s="203">
        <v>884</v>
      </c>
      <c r="K11" s="203">
        <v>14</v>
      </c>
      <c r="L11" s="203">
        <v>966</v>
      </c>
      <c r="M11" s="203">
        <v>15</v>
      </c>
      <c r="N11" s="203">
        <v>2135</v>
      </c>
      <c r="O11" s="203">
        <v>33</v>
      </c>
      <c r="P11" s="203">
        <v>1223</v>
      </c>
      <c r="Q11" s="203">
        <v>19</v>
      </c>
    </row>
    <row r="12" spans="1:17" x14ac:dyDescent="0.35">
      <c r="A12" t="s">
        <v>27</v>
      </c>
      <c r="B12" s="201">
        <v>7</v>
      </c>
      <c r="C12">
        <v>3659</v>
      </c>
      <c r="D12">
        <v>9510</v>
      </c>
      <c r="E12" s="129" t="s">
        <v>21</v>
      </c>
      <c r="F12">
        <v>387</v>
      </c>
      <c r="G12">
        <v>4</v>
      </c>
      <c r="H12">
        <v>1598</v>
      </c>
      <c r="I12">
        <v>17</v>
      </c>
      <c r="J12">
        <v>1344</v>
      </c>
      <c r="K12">
        <v>14</v>
      </c>
      <c r="L12">
        <v>1593</v>
      </c>
      <c r="M12">
        <v>17</v>
      </c>
      <c r="N12">
        <v>3133</v>
      </c>
      <c r="O12">
        <v>33</v>
      </c>
      <c r="P12">
        <v>1451</v>
      </c>
      <c r="Q12">
        <v>15</v>
      </c>
    </row>
    <row r="13" spans="1:17" x14ac:dyDescent="0.35">
      <c r="A13" t="s">
        <v>27</v>
      </c>
      <c r="B13" s="201">
        <v>8</v>
      </c>
      <c r="C13">
        <v>2874</v>
      </c>
      <c r="D13">
        <v>8114</v>
      </c>
      <c r="E13" s="129" t="s">
        <v>25</v>
      </c>
      <c r="F13">
        <v>315</v>
      </c>
      <c r="G13">
        <v>4</v>
      </c>
      <c r="H13">
        <v>1506</v>
      </c>
      <c r="I13">
        <v>19</v>
      </c>
      <c r="J13">
        <v>1183</v>
      </c>
      <c r="K13">
        <v>15</v>
      </c>
      <c r="L13">
        <v>1340</v>
      </c>
      <c r="M13">
        <v>17</v>
      </c>
      <c r="N13">
        <v>2758</v>
      </c>
      <c r="O13">
        <v>34</v>
      </c>
      <c r="P13">
        <v>1007</v>
      </c>
      <c r="Q13">
        <v>12</v>
      </c>
    </row>
    <row r="14" spans="1:17" x14ac:dyDescent="0.35">
      <c r="A14" t="s">
        <v>27</v>
      </c>
      <c r="B14" s="201">
        <v>9</v>
      </c>
      <c r="C14">
        <v>432</v>
      </c>
      <c r="D14">
        <v>1083</v>
      </c>
      <c r="E14" s="129" t="s">
        <v>24</v>
      </c>
      <c r="F14">
        <v>35</v>
      </c>
      <c r="G14">
        <v>3</v>
      </c>
      <c r="H14">
        <v>162</v>
      </c>
      <c r="I14">
        <v>15</v>
      </c>
      <c r="J14">
        <v>124</v>
      </c>
      <c r="K14">
        <v>11</v>
      </c>
      <c r="L14">
        <v>156</v>
      </c>
      <c r="M14">
        <v>14</v>
      </c>
      <c r="N14">
        <v>339</v>
      </c>
      <c r="O14">
        <v>31</v>
      </c>
      <c r="P14">
        <v>264</v>
      </c>
      <c r="Q14">
        <v>24</v>
      </c>
    </row>
    <row r="15" spans="1:17" x14ac:dyDescent="0.35">
      <c r="A15" t="s">
        <v>17</v>
      </c>
      <c r="B15" s="201">
        <v>20</v>
      </c>
      <c r="C15">
        <v>23</v>
      </c>
      <c r="D15">
        <v>82</v>
      </c>
      <c r="E15" s="129" t="s">
        <v>239</v>
      </c>
      <c r="F15">
        <v>1</v>
      </c>
      <c r="G15">
        <v>1</v>
      </c>
      <c r="H15">
        <v>3</v>
      </c>
      <c r="I15">
        <v>4</v>
      </c>
      <c r="J15">
        <v>55</v>
      </c>
      <c r="K15">
        <v>67</v>
      </c>
      <c r="L15">
        <v>13</v>
      </c>
      <c r="M15">
        <v>16</v>
      </c>
      <c r="N15">
        <v>5</v>
      </c>
      <c r="O15">
        <v>6</v>
      </c>
      <c r="P15">
        <v>5</v>
      </c>
      <c r="Q15">
        <v>6</v>
      </c>
    </row>
    <row r="16" spans="1:17" x14ac:dyDescent="0.35">
      <c r="A16" s="206" t="s">
        <v>17</v>
      </c>
      <c r="B16" s="201">
        <v>52</v>
      </c>
      <c r="C16">
        <v>211</v>
      </c>
      <c r="D16">
        <v>574</v>
      </c>
      <c r="E16" s="129" t="s">
        <v>20</v>
      </c>
      <c r="F16">
        <v>10</v>
      </c>
      <c r="G16">
        <v>2</v>
      </c>
      <c r="H16">
        <v>70</v>
      </c>
      <c r="I16">
        <v>12</v>
      </c>
      <c r="J16">
        <v>88</v>
      </c>
      <c r="K16">
        <v>15</v>
      </c>
      <c r="L16">
        <v>66</v>
      </c>
      <c r="M16">
        <v>11</v>
      </c>
      <c r="N16">
        <v>191</v>
      </c>
      <c r="O16">
        <v>33</v>
      </c>
      <c r="P16">
        <v>149</v>
      </c>
      <c r="Q16">
        <v>26</v>
      </c>
    </row>
    <row r="17" spans="1:17" x14ac:dyDescent="0.35">
      <c r="A17" t="s">
        <v>17</v>
      </c>
      <c r="B17" s="201">
        <v>53</v>
      </c>
      <c r="C17">
        <v>772</v>
      </c>
      <c r="D17">
        <v>2001</v>
      </c>
      <c r="E17" s="129" t="s">
        <v>21</v>
      </c>
      <c r="F17">
        <v>84</v>
      </c>
      <c r="G17">
        <v>4</v>
      </c>
      <c r="H17">
        <v>280</v>
      </c>
      <c r="I17">
        <v>14</v>
      </c>
      <c r="J17">
        <v>290</v>
      </c>
      <c r="K17">
        <v>14</v>
      </c>
      <c r="L17">
        <v>317</v>
      </c>
      <c r="M17">
        <v>16</v>
      </c>
      <c r="N17">
        <v>621</v>
      </c>
      <c r="O17">
        <v>31</v>
      </c>
      <c r="P17">
        <v>409</v>
      </c>
      <c r="Q17">
        <v>20</v>
      </c>
    </row>
    <row r="18" spans="1:17" x14ac:dyDescent="0.35">
      <c r="A18" t="s">
        <v>17</v>
      </c>
      <c r="B18" s="201">
        <v>54</v>
      </c>
      <c r="C18">
        <v>30</v>
      </c>
      <c r="D18">
        <v>78</v>
      </c>
      <c r="E18" s="129" t="s">
        <v>21</v>
      </c>
      <c r="F18">
        <v>4</v>
      </c>
      <c r="G18">
        <v>5</v>
      </c>
      <c r="H18">
        <v>13</v>
      </c>
      <c r="I18">
        <v>17</v>
      </c>
      <c r="J18">
        <v>5</v>
      </c>
      <c r="K18">
        <v>6</v>
      </c>
      <c r="L18">
        <v>20</v>
      </c>
      <c r="M18">
        <v>26</v>
      </c>
      <c r="N18">
        <v>18</v>
      </c>
      <c r="O18">
        <v>23</v>
      </c>
      <c r="P18">
        <v>18</v>
      </c>
      <c r="Q18">
        <v>23</v>
      </c>
    </row>
    <row r="19" spans="1:17" x14ac:dyDescent="0.35">
      <c r="A19" t="s">
        <v>17</v>
      </c>
      <c r="B19" s="201">
        <v>55</v>
      </c>
      <c r="C19">
        <v>142</v>
      </c>
      <c r="D19">
        <v>311</v>
      </c>
      <c r="E19" s="129" t="s">
        <v>23</v>
      </c>
      <c r="F19">
        <v>7</v>
      </c>
      <c r="G19">
        <v>2</v>
      </c>
      <c r="H19">
        <v>44</v>
      </c>
      <c r="I19">
        <v>14</v>
      </c>
      <c r="J19">
        <v>65</v>
      </c>
      <c r="K19">
        <v>21</v>
      </c>
      <c r="L19">
        <v>44</v>
      </c>
      <c r="M19">
        <v>14</v>
      </c>
      <c r="N19">
        <v>88</v>
      </c>
      <c r="O19">
        <v>28</v>
      </c>
      <c r="P19">
        <v>63</v>
      </c>
      <c r="Q19">
        <v>20</v>
      </c>
    </row>
    <row r="20" spans="1:17" x14ac:dyDescent="0.35">
      <c r="A20" t="s">
        <v>17</v>
      </c>
      <c r="B20" s="201">
        <v>56</v>
      </c>
      <c r="C20">
        <v>681</v>
      </c>
      <c r="D20">
        <v>1770</v>
      </c>
      <c r="E20" s="129" t="s">
        <v>21</v>
      </c>
      <c r="F20">
        <v>62</v>
      </c>
      <c r="G20">
        <v>4</v>
      </c>
      <c r="H20">
        <v>267</v>
      </c>
      <c r="I20">
        <v>15</v>
      </c>
      <c r="J20">
        <v>219</v>
      </c>
      <c r="K20">
        <v>12</v>
      </c>
      <c r="L20">
        <v>262</v>
      </c>
      <c r="M20">
        <v>15</v>
      </c>
      <c r="N20">
        <v>617</v>
      </c>
      <c r="O20">
        <v>35</v>
      </c>
      <c r="P20">
        <v>343</v>
      </c>
      <c r="Q20">
        <v>19</v>
      </c>
    </row>
    <row r="21" spans="1:17" x14ac:dyDescent="0.35">
      <c r="A21" t="s">
        <v>17</v>
      </c>
      <c r="B21" s="201">
        <v>57</v>
      </c>
      <c r="C21">
        <v>314</v>
      </c>
      <c r="D21">
        <v>700</v>
      </c>
      <c r="E21" s="129" t="s">
        <v>23</v>
      </c>
      <c r="F21">
        <v>19</v>
      </c>
      <c r="G21">
        <v>3</v>
      </c>
      <c r="H21">
        <v>104</v>
      </c>
      <c r="I21">
        <v>15</v>
      </c>
      <c r="J21">
        <v>108</v>
      </c>
      <c r="K21">
        <v>15</v>
      </c>
      <c r="L21">
        <v>115</v>
      </c>
      <c r="M21">
        <v>16</v>
      </c>
      <c r="N21">
        <v>210</v>
      </c>
      <c r="O21">
        <v>30</v>
      </c>
      <c r="P21">
        <v>144</v>
      </c>
      <c r="Q21">
        <v>21</v>
      </c>
    </row>
    <row r="22" spans="1:17" x14ac:dyDescent="0.35">
      <c r="A22" t="s">
        <v>17</v>
      </c>
      <c r="B22" s="201">
        <v>58</v>
      </c>
      <c r="C22">
        <v>405</v>
      </c>
      <c r="D22">
        <v>1111</v>
      </c>
      <c r="E22" s="129" t="s">
        <v>20</v>
      </c>
      <c r="F22">
        <v>31</v>
      </c>
      <c r="G22">
        <v>3</v>
      </c>
      <c r="H22">
        <v>166</v>
      </c>
      <c r="I22">
        <v>15</v>
      </c>
      <c r="J22">
        <v>188</v>
      </c>
      <c r="K22">
        <v>17</v>
      </c>
      <c r="L22">
        <v>170</v>
      </c>
      <c r="M22">
        <v>15</v>
      </c>
      <c r="N22">
        <v>372</v>
      </c>
      <c r="O22">
        <v>33</v>
      </c>
      <c r="P22">
        <v>184</v>
      </c>
      <c r="Q22">
        <v>17</v>
      </c>
    </row>
    <row r="23" spans="1:17" x14ac:dyDescent="0.35">
      <c r="A23" s="203" t="s">
        <v>17</v>
      </c>
      <c r="B23" s="204">
        <v>59</v>
      </c>
      <c r="C23" s="203">
        <v>550</v>
      </c>
      <c r="D23" s="203">
        <v>1473</v>
      </c>
      <c r="E23" s="205" t="s">
        <v>20</v>
      </c>
      <c r="F23" s="203">
        <v>53</v>
      </c>
      <c r="G23" s="203">
        <v>4</v>
      </c>
      <c r="H23" s="203">
        <v>203</v>
      </c>
      <c r="I23" s="203">
        <v>14</v>
      </c>
      <c r="J23" s="203">
        <v>219</v>
      </c>
      <c r="K23" s="203">
        <v>15</v>
      </c>
      <c r="L23" s="203">
        <v>243</v>
      </c>
      <c r="M23" s="203">
        <v>16</v>
      </c>
      <c r="N23" s="203">
        <v>480</v>
      </c>
      <c r="O23" s="203">
        <v>33</v>
      </c>
      <c r="P23" s="203">
        <v>275</v>
      </c>
      <c r="Q23" s="203">
        <v>19</v>
      </c>
    </row>
    <row r="24" spans="1:17" x14ac:dyDescent="0.35">
      <c r="A24" t="s">
        <v>17</v>
      </c>
      <c r="B24" s="201">
        <v>60</v>
      </c>
      <c r="C24">
        <v>347</v>
      </c>
      <c r="D24">
        <v>808</v>
      </c>
      <c r="E24" s="129" t="s">
        <v>18</v>
      </c>
      <c r="F24">
        <v>35</v>
      </c>
      <c r="G24">
        <v>4</v>
      </c>
      <c r="H24">
        <v>90</v>
      </c>
      <c r="I24">
        <v>11</v>
      </c>
      <c r="J24">
        <v>113</v>
      </c>
      <c r="K24">
        <v>14</v>
      </c>
      <c r="L24">
        <v>134</v>
      </c>
      <c r="M24">
        <v>17</v>
      </c>
      <c r="N24">
        <v>264</v>
      </c>
      <c r="O24">
        <v>33</v>
      </c>
      <c r="P24">
        <v>172</v>
      </c>
      <c r="Q24">
        <v>21</v>
      </c>
    </row>
    <row r="25" spans="1:17" x14ac:dyDescent="0.35">
      <c r="A25" s="203" t="s">
        <v>17</v>
      </c>
      <c r="B25" s="204">
        <v>62</v>
      </c>
      <c r="C25" s="203">
        <v>726</v>
      </c>
      <c r="D25" s="203">
        <v>1938</v>
      </c>
      <c r="E25" s="205" t="s">
        <v>20</v>
      </c>
      <c r="F25" s="203">
        <v>71</v>
      </c>
      <c r="G25" s="203">
        <v>4</v>
      </c>
      <c r="H25" s="203">
        <v>280</v>
      </c>
      <c r="I25" s="203">
        <v>14</v>
      </c>
      <c r="J25" s="203">
        <v>256</v>
      </c>
      <c r="K25" s="203">
        <v>13</v>
      </c>
      <c r="L25" s="203">
        <v>294</v>
      </c>
      <c r="M25" s="203">
        <v>15</v>
      </c>
      <c r="N25" s="203">
        <v>627</v>
      </c>
      <c r="O25" s="203">
        <v>32</v>
      </c>
      <c r="P25" s="203">
        <v>410</v>
      </c>
      <c r="Q25" s="203">
        <v>21</v>
      </c>
    </row>
    <row r="26" spans="1:17" x14ac:dyDescent="0.35">
      <c r="A26" s="203" t="s">
        <v>17</v>
      </c>
      <c r="B26" s="204">
        <v>63</v>
      </c>
      <c r="C26" s="203">
        <v>1616</v>
      </c>
      <c r="D26" s="203">
        <v>4356</v>
      </c>
      <c r="E26" s="205" t="s">
        <v>20</v>
      </c>
      <c r="F26" s="203">
        <v>131</v>
      </c>
      <c r="G26" s="203">
        <v>3</v>
      </c>
      <c r="H26" s="203">
        <v>747</v>
      </c>
      <c r="I26" s="203">
        <v>17</v>
      </c>
      <c r="J26" s="203">
        <v>562</v>
      </c>
      <c r="K26" s="203">
        <v>13</v>
      </c>
      <c r="L26" s="203">
        <v>691</v>
      </c>
      <c r="M26" s="203">
        <v>16</v>
      </c>
      <c r="N26" s="203">
        <v>1333</v>
      </c>
      <c r="O26" s="203">
        <v>31</v>
      </c>
      <c r="P26" s="203">
        <v>892</v>
      </c>
      <c r="Q26" s="203">
        <v>20</v>
      </c>
    </row>
    <row r="27" spans="1:17" x14ac:dyDescent="0.35">
      <c r="A27" t="s">
        <v>17</v>
      </c>
      <c r="B27" s="201">
        <v>64</v>
      </c>
      <c r="C27">
        <v>134</v>
      </c>
      <c r="D27">
        <v>398</v>
      </c>
      <c r="E27" s="129" t="s">
        <v>26</v>
      </c>
      <c r="F27">
        <v>8</v>
      </c>
      <c r="G27">
        <v>2</v>
      </c>
      <c r="H27">
        <v>29</v>
      </c>
      <c r="I27">
        <v>7</v>
      </c>
      <c r="J27">
        <v>52</v>
      </c>
      <c r="K27">
        <v>13</v>
      </c>
      <c r="L27">
        <v>90</v>
      </c>
      <c r="M27">
        <v>23</v>
      </c>
      <c r="N27">
        <v>148</v>
      </c>
      <c r="O27">
        <v>37</v>
      </c>
      <c r="P27">
        <v>71</v>
      </c>
      <c r="Q27">
        <v>18</v>
      </c>
    </row>
    <row r="28" spans="1:17" x14ac:dyDescent="0.35">
      <c r="A28" t="s">
        <v>17</v>
      </c>
      <c r="B28" s="201">
        <v>65</v>
      </c>
      <c r="C28">
        <v>235</v>
      </c>
      <c r="D28">
        <v>662</v>
      </c>
      <c r="E28" s="129" t="s">
        <v>25</v>
      </c>
      <c r="F28">
        <v>25</v>
      </c>
      <c r="G28">
        <v>4</v>
      </c>
      <c r="H28">
        <v>131</v>
      </c>
      <c r="I28">
        <v>20</v>
      </c>
      <c r="J28">
        <v>91</v>
      </c>
      <c r="K28">
        <v>14</v>
      </c>
      <c r="L28">
        <v>139</v>
      </c>
      <c r="M28">
        <v>21</v>
      </c>
      <c r="N28">
        <v>175</v>
      </c>
      <c r="O28">
        <v>26</v>
      </c>
      <c r="P28">
        <v>101</v>
      </c>
      <c r="Q28">
        <v>15</v>
      </c>
    </row>
    <row r="29" spans="1:17" x14ac:dyDescent="0.35">
      <c r="A29" t="s">
        <v>17</v>
      </c>
      <c r="B29" s="201">
        <v>66</v>
      </c>
      <c r="C29">
        <v>311</v>
      </c>
      <c r="D29">
        <v>874</v>
      </c>
      <c r="E29" s="129" t="s">
        <v>25</v>
      </c>
      <c r="F29">
        <v>29</v>
      </c>
      <c r="G29">
        <v>3</v>
      </c>
      <c r="H29">
        <v>163</v>
      </c>
      <c r="I29">
        <v>19</v>
      </c>
      <c r="J29">
        <v>113</v>
      </c>
      <c r="K29">
        <v>13</v>
      </c>
      <c r="L29">
        <v>157</v>
      </c>
      <c r="M29">
        <v>18</v>
      </c>
      <c r="N29">
        <v>270</v>
      </c>
      <c r="O29">
        <v>31</v>
      </c>
      <c r="P29">
        <v>142</v>
      </c>
      <c r="Q29">
        <v>16</v>
      </c>
    </row>
    <row r="30" spans="1:17" x14ac:dyDescent="0.35">
      <c r="A30" t="s">
        <v>17</v>
      </c>
      <c r="B30" s="201">
        <v>67</v>
      </c>
      <c r="C30">
        <v>1135</v>
      </c>
      <c r="D30">
        <v>2800</v>
      </c>
      <c r="E30" s="129" t="s">
        <v>24</v>
      </c>
      <c r="F30">
        <v>98</v>
      </c>
      <c r="G30">
        <v>4</v>
      </c>
      <c r="H30">
        <v>373</v>
      </c>
      <c r="I30">
        <v>13</v>
      </c>
      <c r="J30">
        <v>346</v>
      </c>
      <c r="K30">
        <v>12</v>
      </c>
      <c r="L30">
        <v>415</v>
      </c>
      <c r="M30">
        <v>15</v>
      </c>
      <c r="N30">
        <v>912</v>
      </c>
      <c r="O30">
        <v>33</v>
      </c>
      <c r="P30">
        <v>656</v>
      </c>
      <c r="Q30">
        <v>23</v>
      </c>
    </row>
    <row r="31" spans="1:17" x14ac:dyDescent="0.35">
      <c r="A31" t="s">
        <v>17</v>
      </c>
      <c r="B31" s="201">
        <v>68</v>
      </c>
      <c r="C31">
        <v>2488</v>
      </c>
      <c r="D31">
        <v>6393</v>
      </c>
      <c r="E31" s="129" t="s">
        <v>21</v>
      </c>
      <c r="F31">
        <v>277</v>
      </c>
      <c r="G31">
        <v>4</v>
      </c>
      <c r="H31">
        <v>883</v>
      </c>
      <c r="I31">
        <v>14</v>
      </c>
      <c r="J31">
        <v>866</v>
      </c>
      <c r="K31">
        <v>14</v>
      </c>
      <c r="L31">
        <v>1067</v>
      </c>
      <c r="M31">
        <v>17</v>
      </c>
      <c r="N31">
        <v>2028</v>
      </c>
      <c r="O31">
        <v>32</v>
      </c>
      <c r="P31">
        <v>1272</v>
      </c>
      <c r="Q31">
        <v>20</v>
      </c>
    </row>
    <row r="32" spans="1:17" x14ac:dyDescent="0.35">
      <c r="A32" t="s">
        <v>31</v>
      </c>
      <c r="B32" s="201">
        <v>89</v>
      </c>
      <c r="C32">
        <v>534</v>
      </c>
      <c r="D32">
        <v>1458</v>
      </c>
      <c r="E32" s="129" t="s">
        <v>20</v>
      </c>
      <c r="F32">
        <v>50</v>
      </c>
      <c r="G32">
        <v>3</v>
      </c>
      <c r="H32">
        <v>227</v>
      </c>
      <c r="I32">
        <v>16</v>
      </c>
      <c r="J32">
        <v>241</v>
      </c>
      <c r="K32">
        <v>17</v>
      </c>
      <c r="L32">
        <v>191</v>
      </c>
      <c r="M32">
        <v>13</v>
      </c>
      <c r="N32">
        <v>471</v>
      </c>
      <c r="O32">
        <v>32</v>
      </c>
      <c r="P32">
        <v>278</v>
      </c>
      <c r="Q32">
        <v>19</v>
      </c>
    </row>
    <row r="33" spans="1:17" x14ac:dyDescent="0.35">
      <c r="A33" t="s">
        <v>30</v>
      </c>
      <c r="B33" s="201">
        <v>31</v>
      </c>
      <c r="C33">
        <v>727</v>
      </c>
      <c r="D33">
        <v>1612</v>
      </c>
      <c r="E33" s="129" t="s">
        <v>23</v>
      </c>
      <c r="F33">
        <v>35</v>
      </c>
      <c r="G33">
        <v>2</v>
      </c>
      <c r="H33">
        <v>168</v>
      </c>
      <c r="I33">
        <v>10</v>
      </c>
      <c r="J33">
        <v>190</v>
      </c>
      <c r="K33">
        <v>12</v>
      </c>
      <c r="L33">
        <v>243</v>
      </c>
      <c r="M33">
        <v>15</v>
      </c>
      <c r="N33">
        <v>514</v>
      </c>
      <c r="O33">
        <v>32</v>
      </c>
      <c r="P33">
        <v>462</v>
      </c>
      <c r="Q33">
        <v>29</v>
      </c>
    </row>
    <row r="34" spans="1:17" x14ac:dyDescent="0.35">
      <c r="A34" s="203" t="s">
        <v>30</v>
      </c>
      <c r="B34" s="204">
        <v>32</v>
      </c>
      <c r="C34" s="203">
        <v>3379</v>
      </c>
      <c r="D34" s="203">
        <v>8737</v>
      </c>
      <c r="E34" s="205" t="s">
        <v>21</v>
      </c>
      <c r="F34" s="203">
        <v>311</v>
      </c>
      <c r="G34" s="203">
        <v>4</v>
      </c>
      <c r="H34" s="203">
        <v>1274</v>
      </c>
      <c r="I34" s="203">
        <v>15</v>
      </c>
      <c r="J34" s="203">
        <v>1198</v>
      </c>
      <c r="K34" s="203">
        <v>14</v>
      </c>
      <c r="L34" s="203">
        <v>1526</v>
      </c>
      <c r="M34" s="203">
        <v>17</v>
      </c>
      <c r="N34" s="203">
        <v>2989</v>
      </c>
      <c r="O34" s="203">
        <v>34</v>
      </c>
      <c r="P34" s="203">
        <v>1439</v>
      </c>
      <c r="Q34" s="203">
        <v>16</v>
      </c>
    </row>
    <row r="35" spans="1:17" x14ac:dyDescent="0.35">
      <c r="A35" t="s">
        <v>30</v>
      </c>
      <c r="B35" s="201">
        <v>33</v>
      </c>
      <c r="C35">
        <v>3142</v>
      </c>
      <c r="D35">
        <v>8013</v>
      </c>
      <c r="E35" s="129" t="s">
        <v>21</v>
      </c>
      <c r="F35">
        <v>333</v>
      </c>
      <c r="G35">
        <v>4</v>
      </c>
      <c r="H35">
        <v>1306</v>
      </c>
      <c r="I35">
        <v>16</v>
      </c>
      <c r="J35">
        <v>1104</v>
      </c>
      <c r="K35">
        <v>14</v>
      </c>
      <c r="L35">
        <v>1446</v>
      </c>
      <c r="M35">
        <v>18</v>
      </c>
      <c r="N35">
        <v>2476</v>
      </c>
      <c r="O35">
        <v>31</v>
      </c>
      <c r="P35">
        <v>1348</v>
      </c>
      <c r="Q35">
        <v>17</v>
      </c>
    </row>
    <row r="36" spans="1:17" x14ac:dyDescent="0.35">
      <c r="A36" t="s">
        <v>30</v>
      </c>
      <c r="B36" s="201">
        <v>34</v>
      </c>
      <c r="C36">
        <v>593</v>
      </c>
      <c r="D36">
        <v>1417</v>
      </c>
      <c r="E36" s="129" t="s">
        <v>28</v>
      </c>
      <c r="F36">
        <v>38</v>
      </c>
      <c r="G36">
        <v>3</v>
      </c>
      <c r="H36">
        <v>172</v>
      </c>
      <c r="I36">
        <v>12</v>
      </c>
      <c r="J36">
        <v>205</v>
      </c>
      <c r="K36">
        <v>14</v>
      </c>
      <c r="L36">
        <v>212</v>
      </c>
      <c r="M36">
        <v>15</v>
      </c>
      <c r="N36">
        <v>435</v>
      </c>
      <c r="O36">
        <v>31</v>
      </c>
      <c r="P36">
        <v>355</v>
      </c>
      <c r="Q36">
        <v>25</v>
      </c>
    </row>
    <row r="37" spans="1:17" x14ac:dyDescent="0.35">
      <c r="A37" t="s">
        <v>30</v>
      </c>
      <c r="B37" s="201">
        <v>35</v>
      </c>
      <c r="C37">
        <v>997</v>
      </c>
      <c r="D37">
        <v>2442</v>
      </c>
      <c r="E37" s="129" t="s">
        <v>28</v>
      </c>
      <c r="F37">
        <v>101</v>
      </c>
      <c r="G37">
        <v>4</v>
      </c>
      <c r="H37">
        <v>327</v>
      </c>
      <c r="I37">
        <v>13</v>
      </c>
      <c r="J37">
        <v>288</v>
      </c>
      <c r="K37">
        <v>12</v>
      </c>
      <c r="L37">
        <v>401</v>
      </c>
      <c r="M37">
        <v>16</v>
      </c>
      <c r="N37">
        <v>786</v>
      </c>
      <c r="O37">
        <v>32</v>
      </c>
      <c r="P37">
        <v>539</v>
      </c>
      <c r="Q37">
        <v>22</v>
      </c>
    </row>
    <row r="38" spans="1:17" x14ac:dyDescent="0.35">
      <c r="A38" t="s">
        <v>30</v>
      </c>
      <c r="B38" s="201">
        <v>43</v>
      </c>
      <c r="C38">
        <v>2227</v>
      </c>
      <c r="D38">
        <v>5864</v>
      </c>
      <c r="E38" s="129" t="s">
        <v>21</v>
      </c>
      <c r="F38">
        <v>228</v>
      </c>
      <c r="G38">
        <v>4</v>
      </c>
      <c r="H38">
        <v>888</v>
      </c>
      <c r="I38">
        <v>15</v>
      </c>
      <c r="J38">
        <v>788</v>
      </c>
      <c r="K38">
        <v>13</v>
      </c>
      <c r="L38">
        <v>1042</v>
      </c>
      <c r="M38">
        <v>18</v>
      </c>
      <c r="N38">
        <v>1869</v>
      </c>
      <c r="O38">
        <v>32</v>
      </c>
      <c r="P38">
        <v>1049</v>
      </c>
      <c r="Q38">
        <v>18</v>
      </c>
    </row>
    <row r="39" spans="1:17" x14ac:dyDescent="0.35">
      <c r="A39" t="s">
        <v>30</v>
      </c>
      <c r="B39" s="201">
        <v>44</v>
      </c>
      <c r="C39">
        <v>762</v>
      </c>
      <c r="D39">
        <v>1765</v>
      </c>
      <c r="E39" s="129" t="s">
        <v>18</v>
      </c>
      <c r="F39">
        <v>62</v>
      </c>
      <c r="G39">
        <v>4</v>
      </c>
      <c r="H39">
        <v>266</v>
      </c>
      <c r="I39">
        <v>15</v>
      </c>
      <c r="J39">
        <v>211</v>
      </c>
      <c r="K39">
        <v>12</v>
      </c>
      <c r="L39">
        <v>322</v>
      </c>
      <c r="M39">
        <v>18</v>
      </c>
      <c r="N39">
        <v>540</v>
      </c>
      <c r="O39">
        <v>31</v>
      </c>
      <c r="P39">
        <v>364</v>
      </c>
      <c r="Q39">
        <v>21</v>
      </c>
    </row>
    <row r="40" spans="1:17" x14ac:dyDescent="0.35">
      <c r="A40" t="s">
        <v>30</v>
      </c>
      <c r="B40" s="201">
        <v>46</v>
      </c>
      <c r="C40">
        <v>3002</v>
      </c>
      <c r="D40">
        <v>7555</v>
      </c>
      <c r="E40" s="129" t="s">
        <v>24</v>
      </c>
      <c r="F40">
        <v>260</v>
      </c>
      <c r="G40">
        <v>3</v>
      </c>
      <c r="H40">
        <v>1029</v>
      </c>
      <c r="I40">
        <v>14</v>
      </c>
      <c r="J40">
        <v>1023</v>
      </c>
      <c r="K40">
        <v>14</v>
      </c>
      <c r="L40">
        <v>1228</v>
      </c>
      <c r="M40">
        <v>16</v>
      </c>
      <c r="N40">
        <v>2522</v>
      </c>
      <c r="O40">
        <v>33</v>
      </c>
      <c r="P40">
        <v>1493</v>
      </c>
      <c r="Q40">
        <v>20</v>
      </c>
    </row>
    <row r="41" spans="1:17" x14ac:dyDescent="0.35">
      <c r="C41"/>
      <c r="E41" s="129"/>
    </row>
    <row r="42" spans="1:17" ht="19.149999999999999" customHeight="1" x14ac:dyDescent="0.35">
      <c r="A42" s="200" t="s">
        <v>240</v>
      </c>
      <c r="C42"/>
      <c r="E42" s="129"/>
    </row>
    <row r="43" spans="1:17" x14ac:dyDescent="0.35">
      <c r="A43" s="310" t="s">
        <v>16</v>
      </c>
      <c r="B43" s="312" t="s">
        <v>228</v>
      </c>
      <c r="C43" s="313" t="s">
        <v>229</v>
      </c>
      <c r="D43" s="309" t="s">
        <v>230</v>
      </c>
      <c r="E43" s="309" t="s">
        <v>5</v>
      </c>
      <c r="F43" s="309" t="s">
        <v>231</v>
      </c>
      <c r="G43" s="309"/>
      <c r="H43" s="309" t="s">
        <v>232</v>
      </c>
      <c r="I43" s="309"/>
      <c r="J43" s="309" t="s">
        <v>233</v>
      </c>
      <c r="K43" s="309"/>
      <c r="L43" s="309" t="s">
        <v>234</v>
      </c>
      <c r="M43" s="309"/>
      <c r="N43" s="309" t="s">
        <v>235</v>
      </c>
      <c r="O43" s="309"/>
      <c r="P43" s="309" t="s">
        <v>236</v>
      </c>
      <c r="Q43" s="309"/>
    </row>
    <row r="44" spans="1:17" ht="14.5" customHeight="1" x14ac:dyDescent="0.35">
      <c r="A44" s="311"/>
      <c r="B44" s="312"/>
      <c r="C44" s="313"/>
      <c r="D44" s="309"/>
      <c r="E44" s="309"/>
      <c r="F44" s="202" t="s">
        <v>237</v>
      </c>
      <c r="G44" s="202" t="s">
        <v>238</v>
      </c>
      <c r="H44" s="202" t="s">
        <v>237</v>
      </c>
      <c r="I44" s="202" t="s">
        <v>238</v>
      </c>
      <c r="J44" s="202" t="s">
        <v>237</v>
      </c>
      <c r="K44" s="202" t="s">
        <v>238</v>
      </c>
      <c r="L44" s="202" t="s">
        <v>237</v>
      </c>
      <c r="M44" s="202" t="s">
        <v>238</v>
      </c>
      <c r="N44" s="202" t="s">
        <v>237</v>
      </c>
      <c r="O44" s="202" t="s">
        <v>238</v>
      </c>
      <c r="P44" s="202" t="s">
        <v>237</v>
      </c>
      <c r="Q44" s="202" t="s">
        <v>238</v>
      </c>
    </row>
    <row r="45" spans="1:17" x14ac:dyDescent="0.35">
      <c r="A45" t="s">
        <v>27</v>
      </c>
      <c r="B45" s="201">
        <v>1</v>
      </c>
      <c r="C45">
        <v>1109</v>
      </c>
      <c r="D45">
        <v>2853</v>
      </c>
      <c r="E45" s="129" t="s">
        <v>21</v>
      </c>
      <c r="F45">
        <v>167</v>
      </c>
      <c r="G45">
        <v>6</v>
      </c>
      <c r="H45">
        <v>529</v>
      </c>
      <c r="I45">
        <v>19</v>
      </c>
      <c r="J45">
        <v>357</v>
      </c>
      <c r="K45">
        <v>13</v>
      </c>
      <c r="L45">
        <v>658</v>
      </c>
      <c r="M45">
        <v>23</v>
      </c>
      <c r="N45">
        <v>779</v>
      </c>
      <c r="O45">
        <v>27</v>
      </c>
      <c r="P45">
        <v>359</v>
      </c>
      <c r="Q45">
        <v>13</v>
      </c>
    </row>
    <row r="46" spans="1:17" x14ac:dyDescent="0.35">
      <c r="A46" s="203" t="s">
        <v>27</v>
      </c>
      <c r="B46" s="204">
        <v>2</v>
      </c>
      <c r="C46" s="203">
        <v>1695</v>
      </c>
      <c r="D46" s="203">
        <v>4586</v>
      </c>
      <c r="E46" s="205" t="s">
        <v>20</v>
      </c>
      <c r="F46" s="203">
        <v>248</v>
      </c>
      <c r="G46" s="203">
        <v>5</v>
      </c>
      <c r="H46" s="203">
        <v>846</v>
      </c>
      <c r="I46" s="203">
        <v>18</v>
      </c>
      <c r="J46" s="203">
        <v>566</v>
      </c>
      <c r="K46" s="203">
        <v>12</v>
      </c>
      <c r="L46" s="203">
        <v>907</v>
      </c>
      <c r="M46" s="203">
        <v>20</v>
      </c>
      <c r="N46" s="203">
        <v>1330</v>
      </c>
      <c r="O46" s="203">
        <v>29</v>
      </c>
      <c r="P46" s="203">
        <v>681</v>
      </c>
      <c r="Q46" s="203">
        <v>15</v>
      </c>
    </row>
    <row r="47" spans="1:17" x14ac:dyDescent="0.35">
      <c r="A47" t="s">
        <v>27</v>
      </c>
      <c r="B47" s="201">
        <v>3</v>
      </c>
      <c r="C47">
        <v>1165</v>
      </c>
      <c r="D47">
        <v>3156</v>
      </c>
      <c r="E47" s="129" t="s">
        <v>20</v>
      </c>
      <c r="F47">
        <v>131</v>
      </c>
      <c r="G47">
        <v>4</v>
      </c>
      <c r="H47">
        <v>591</v>
      </c>
      <c r="I47">
        <v>19</v>
      </c>
      <c r="J47">
        <v>466</v>
      </c>
      <c r="K47">
        <v>15</v>
      </c>
      <c r="L47">
        <v>520</v>
      </c>
      <c r="M47">
        <v>16</v>
      </c>
      <c r="N47">
        <v>964</v>
      </c>
      <c r="O47">
        <v>31</v>
      </c>
      <c r="P47">
        <v>481</v>
      </c>
      <c r="Q47">
        <v>15</v>
      </c>
    </row>
    <row r="48" spans="1:17" x14ac:dyDescent="0.35">
      <c r="A48" t="s">
        <v>27</v>
      </c>
      <c r="B48" s="201">
        <v>4</v>
      </c>
      <c r="C48">
        <v>1238</v>
      </c>
      <c r="D48">
        <v>3195</v>
      </c>
      <c r="E48" s="129" t="s">
        <v>21</v>
      </c>
      <c r="F48">
        <v>115</v>
      </c>
      <c r="G48">
        <v>4</v>
      </c>
      <c r="H48">
        <v>575</v>
      </c>
      <c r="I48">
        <v>18</v>
      </c>
      <c r="J48">
        <v>472</v>
      </c>
      <c r="K48">
        <v>15</v>
      </c>
      <c r="L48">
        <v>531</v>
      </c>
      <c r="M48">
        <v>17</v>
      </c>
      <c r="N48">
        <v>1017</v>
      </c>
      <c r="O48">
        <v>32</v>
      </c>
      <c r="P48">
        <v>485</v>
      </c>
      <c r="Q48">
        <v>15</v>
      </c>
    </row>
    <row r="49" spans="1:17" x14ac:dyDescent="0.35">
      <c r="A49" t="s">
        <v>27</v>
      </c>
      <c r="B49" s="201">
        <v>5</v>
      </c>
      <c r="C49">
        <v>559</v>
      </c>
      <c r="D49">
        <v>1398</v>
      </c>
      <c r="E49" s="129" t="s">
        <v>24</v>
      </c>
      <c r="F49">
        <v>55</v>
      </c>
      <c r="G49">
        <v>4</v>
      </c>
      <c r="H49">
        <v>223</v>
      </c>
      <c r="I49">
        <v>16</v>
      </c>
      <c r="J49">
        <v>186</v>
      </c>
      <c r="K49">
        <v>13</v>
      </c>
      <c r="L49">
        <v>230</v>
      </c>
      <c r="M49">
        <v>16</v>
      </c>
      <c r="N49">
        <v>460</v>
      </c>
      <c r="O49">
        <v>33</v>
      </c>
      <c r="P49">
        <v>244</v>
      </c>
      <c r="Q49">
        <v>17</v>
      </c>
    </row>
    <row r="50" spans="1:17" x14ac:dyDescent="0.35">
      <c r="A50" t="s">
        <v>27</v>
      </c>
      <c r="B50" s="201">
        <v>6</v>
      </c>
      <c r="C50">
        <v>2203</v>
      </c>
      <c r="D50">
        <v>5744</v>
      </c>
      <c r="E50" s="129" t="s">
        <v>21</v>
      </c>
      <c r="F50">
        <v>291</v>
      </c>
      <c r="G50">
        <v>5</v>
      </c>
      <c r="H50">
        <v>987</v>
      </c>
      <c r="I50">
        <v>17</v>
      </c>
      <c r="J50">
        <v>776</v>
      </c>
      <c r="K50">
        <v>14</v>
      </c>
      <c r="L50">
        <v>1098</v>
      </c>
      <c r="M50">
        <v>19</v>
      </c>
      <c r="N50">
        <v>1770</v>
      </c>
      <c r="O50">
        <v>31</v>
      </c>
      <c r="P50">
        <v>812</v>
      </c>
      <c r="Q50">
        <v>14</v>
      </c>
    </row>
    <row r="51" spans="1:17" x14ac:dyDescent="0.35">
      <c r="A51" t="s">
        <v>27</v>
      </c>
      <c r="B51" s="201">
        <v>7</v>
      </c>
      <c r="C51">
        <v>1600</v>
      </c>
      <c r="D51">
        <v>3712</v>
      </c>
      <c r="E51" s="129" t="s">
        <v>18</v>
      </c>
      <c r="F51">
        <v>211</v>
      </c>
      <c r="G51">
        <v>6</v>
      </c>
      <c r="H51">
        <v>617</v>
      </c>
      <c r="I51">
        <v>17</v>
      </c>
      <c r="J51">
        <v>505</v>
      </c>
      <c r="K51">
        <v>14</v>
      </c>
      <c r="L51">
        <v>778</v>
      </c>
      <c r="M51">
        <v>21</v>
      </c>
      <c r="N51">
        <v>1144</v>
      </c>
      <c r="O51">
        <v>31</v>
      </c>
      <c r="P51">
        <v>453</v>
      </c>
      <c r="Q51">
        <v>12</v>
      </c>
    </row>
    <row r="52" spans="1:17" x14ac:dyDescent="0.35">
      <c r="A52" s="203" t="s">
        <v>27</v>
      </c>
      <c r="B52" s="204">
        <v>8</v>
      </c>
      <c r="C52" s="203">
        <v>2109</v>
      </c>
      <c r="D52" s="203">
        <v>5692</v>
      </c>
      <c r="E52" s="205" t="s">
        <v>20</v>
      </c>
      <c r="F52" s="203">
        <v>324</v>
      </c>
      <c r="G52" s="203">
        <v>6</v>
      </c>
      <c r="H52" s="203">
        <v>1087</v>
      </c>
      <c r="I52" s="203">
        <v>19</v>
      </c>
      <c r="J52" s="203">
        <v>756</v>
      </c>
      <c r="K52" s="203">
        <v>13</v>
      </c>
      <c r="L52" s="203">
        <v>1207</v>
      </c>
      <c r="M52" s="203">
        <v>21</v>
      </c>
      <c r="N52" s="203">
        <v>1659</v>
      </c>
      <c r="O52" s="203">
        <v>29</v>
      </c>
      <c r="P52" s="203">
        <v>652</v>
      </c>
      <c r="Q52" s="203">
        <v>11</v>
      </c>
    </row>
    <row r="53" spans="1:17" x14ac:dyDescent="0.35">
      <c r="A53" t="s">
        <v>27</v>
      </c>
      <c r="B53" s="201">
        <v>9</v>
      </c>
      <c r="C53">
        <v>845</v>
      </c>
      <c r="D53">
        <v>2179</v>
      </c>
      <c r="E53" s="129" t="s">
        <v>21</v>
      </c>
      <c r="F53">
        <v>110</v>
      </c>
      <c r="G53">
        <v>5</v>
      </c>
      <c r="H53">
        <v>410</v>
      </c>
      <c r="I53">
        <v>19</v>
      </c>
      <c r="J53">
        <v>251</v>
      </c>
      <c r="K53">
        <v>12</v>
      </c>
      <c r="L53">
        <v>417</v>
      </c>
      <c r="M53">
        <v>19</v>
      </c>
      <c r="N53">
        <v>672</v>
      </c>
      <c r="O53">
        <v>31</v>
      </c>
      <c r="P53">
        <v>319</v>
      </c>
      <c r="Q53">
        <v>15</v>
      </c>
    </row>
    <row r="54" spans="1:17" x14ac:dyDescent="0.35">
      <c r="A54" t="s">
        <v>17</v>
      </c>
      <c r="B54" s="201">
        <v>20</v>
      </c>
      <c r="C54">
        <v>15</v>
      </c>
      <c r="D54">
        <v>111</v>
      </c>
      <c r="E54" s="129" t="s">
        <v>241</v>
      </c>
      <c r="F54">
        <v>1</v>
      </c>
      <c r="G54">
        <v>1</v>
      </c>
      <c r="H54">
        <v>0</v>
      </c>
      <c r="I54">
        <v>0</v>
      </c>
      <c r="J54">
        <v>40</v>
      </c>
      <c r="K54">
        <v>36</v>
      </c>
      <c r="L54">
        <v>56</v>
      </c>
      <c r="M54">
        <v>50</v>
      </c>
      <c r="N54">
        <v>14</v>
      </c>
      <c r="O54">
        <v>13</v>
      </c>
      <c r="P54">
        <v>0</v>
      </c>
      <c r="Q54">
        <v>0</v>
      </c>
    </row>
    <row r="55" spans="1:17" x14ac:dyDescent="0.35">
      <c r="A55" t="s">
        <v>17</v>
      </c>
      <c r="B55" s="201">
        <v>22</v>
      </c>
      <c r="C55">
        <v>89</v>
      </c>
      <c r="D55">
        <v>173</v>
      </c>
      <c r="E55" s="129" t="s">
        <v>22</v>
      </c>
      <c r="F55">
        <v>12</v>
      </c>
      <c r="G55">
        <v>7</v>
      </c>
      <c r="H55">
        <v>25</v>
      </c>
      <c r="I55">
        <v>14</v>
      </c>
      <c r="J55">
        <v>31</v>
      </c>
      <c r="K55">
        <v>18</v>
      </c>
      <c r="L55">
        <v>37</v>
      </c>
      <c r="M55">
        <v>21</v>
      </c>
      <c r="N55">
        <v>47</v>
      </c>
      <c r="O55">
        <v>27</v>
      </c>
      <c r="P55">
        <v>21</v>
      </c>
      <c r="Q55">
        <v>12</v>
      </c>
    </row>
    <row r="56" spans="1:17" x14ac:dyDescent="0.35">
      <c r="A56" t="s">
        <v>17</v>
      </c>
      <c r="B56" s="201">
        <v>52</v>
      </c>
      <c r="C56">
        <v>369</v>
      </c>
      <c r="D56">
        <v>902</v>
      </c>
      <c r="E56" s="129" t="s">
        <v>28</v>
      </c>
      <c r="F56">
        <v>43</v>
      </c>
      <c r="G56">
        <v>5</v>
      </c>
      <c r="H56">
        <v>145</v>
      </c>
      <c r="I56">
        <v>16</v>
      </c>
      <c r="J56">
        <v>117</v>
      </c>
      <c r="K56">
        <v>13</v>
      </c>
      <c r="L56">
        <v>171</v>
      </c>
      <c r="M56">
        <v>19</v>
      </c>
      <c r="N56">
        <v>249</v>
      </c>
      <c r="O56">
        <v>28</v>
      </c>
      <c r="P56">
        <v>177</v>
      </c>
      <c r="Q56">
        <v>20</v>
      </c>
    </row>
    <row r="57" spans="1:17" x14ac:dyDescent="0.35">
      <c r="A57" t="s">
        <v>17</v>
      </c>
      <c r="B57" s="201">
        <v>53</v>
      </c>
      <c r="C57">
        <v>1073</v>
      </c>
      <c r="D57">
        <v>2358</v>
      </c>
      <c r="E57" s="129" t="s">
        <v>23</v>
      </c>
      <c r="F57">
        <v>126</v>
      </c>
      <c r="G57">
        <v>5</v>
      </c>
      <c r="H57">
        <v>347</v>
      </c>
      <c r="I57">
        <v>15</v>
      </c>
      <c r="J57">
        <v>279</v>
      </c>
      <c r="K57">
        <v>12</v>
      </c>
      <c r="L57">
        <v>483</v>
      </c>
      <c r="M57">
        <v>20</v>
      </c>
      <c r="N57">
        <v>726</v>
      </c>
      <c r="O57">
        <v>31</v>
      </c>
      <c r="P57">
        <v>397</v>
      </c>
      <c r="Q57">
        <v>17</v>
      </c>
    </row>
    <row r="58" spans="1:17" x14ac:dyDescent="0.35">
      <c r="A58" t="s">
        <v>17</v>
      </c>
      <c r="B58" s="201">
        <v>54</v>
      </c>
      <c r="C58">
        <v>124</v>
      </c>
      <c r="D58">
        <v>257</v>
      </c>
      <c r="E58" s="129" t="s">
        <v>34</v>
      </c>
      <c r="F58">
        <v>7</v>
      </c>
      <c r="G58">
        <v>3</v>
      </c>
      <c r="H58">
        <v>39</v>
      </c>
      <c r="I58">
        <v>15</v>
      </c>
      <c r="J58">
        <v>41</v>
      </c>
      <c r="K58">
        <v>16</v>
      </c>
      <c r="L58">
        <v>33</v>
      </c>
      <c r="M58">
        <v>13</v>
      </c>
      <c r="N58">
        <v>61</v>
      </c>
      <c r="O58">
        <v>24</v>
      </c>
      <c r="P58">
        <v>76</v>
      </c>
      <c r="Q58">
        <v>30</v>
      </c>
    </row>
    <row r="59" spans="1:17" x14ac:dyDescent="0.35">
      <c r="A59" t="s">
        <v>17</v>
      </c>
      <c r="B59" s="201">
        <v>55</v>
      </c>
      <c r="C59">
        <v>599</v>
      </c>
      <c r="D59">
        <v>1356</v>
      </c>
      <c r="E59" s="129" t="s">
        <v>18</v>
      </c>
      <c r="F59">
        <v>58</v>
      </c>
      <c r="G59">
        <v>4</v>
      </c>
      <c r="H59">
        <v>233</v>
      </c>
      <c r="I59">
        <v>17</v>
      </c>
      <c r="J59">
        <v>174</v>
      </c>
      <c r="K59">
        <v>13</v>
      </c>
      <c r="L59">
        <v>199</v>
      </c>
      <c r="M59">
        <v>15</v>
      </c>
      <c r="N59">
        <v>413</v>
      </c>
      <c r="O59">
        <v>30</v>
      </c>
      <c r="P59">
        <v>279</v>
      </c>
      <c r="Q59">
        <v>21</v>
      </c>
    </row>
    <row r="60" spans="1:17" x14ac:dyDescent="0.35">
      <c r="A60" t="s">
        <v>17</v>
      </c>
      <c r="B60" s="201">
        <v>56</v>
      </c>
      <c r="C60">
        <v>1314</v>
      </c>
      <c r="D60">
        <v>3227</v>
      </c>
      <c r="E60" s="129" t="s">
        <v>24</v>
      </c>
      <c r="F60">
        <v>171</v>
      </c>
      <c r="G60">
        <v>5</v>
      </c>
      <c r="H60">
        <v>518</v>
      </c>
      <c r="I60">
        <v>16</v>
      </c>
      <c r="J60">
        <v>380</v>
      </c>
      <c r="K60">
        <v>12</v>
      </c>
      <c r="L60">
        <v>608</v>
      </c>
      <c r="M60">
        <v>19</v>
      </c>
      <c r="N60">
        <v>917</v>
      </c>
      <c r="O60">
        <v>28</v>
      </c>
      <c r="P60">
        <v>633</v>
      </c>
      <c r="Q60">
        <v>20</v>
      </c>
    </row>
    <row r="61" spans="1:17" x14ac:dyDescent="0.35">
      <c r="A61" t="s">
        <v>17</v>
      </c>
      <c r="B61" s="201">
        <v>57</v>
      </c>
      <c r="C61">
        <v>565</v>
      </c>
      <c r="D61">
        <v>1356</v>
      </c>
      <c r="E61" s="129" t="s">
        <v>28</v>
      </c>
      <c r="F61">
        <v>75</v>
      </c>
      <c r="G61">
        <v>6</v>
      </c>
      <c r="H61">
        <v>224</v>
      </c>
      <c r="I61">
        <v>17</v>
      </c>
      <c r="J61">
        <v>192</v>
      </c>
      <c r="K61">
        <v>14</v>
      </c>
      <c r="L61">
        <v>295</v>
      </c>
      <c r="M61">
        <v>22</v>
      </c>
      <c r="N61">
        <v>400</v>
      </c>
      <c r="O61">
        <v>29</v>
      </c>
      <c r="P61">
        <v>170</v>
      </c>
      <c r="Q61">
        <v>13</v>
      </c>
    </row>
    <row r="62" spans="1:17" x14ac:dyDescent="0.35">
      <c r="A62" t="s">
        <v>17</v>
      </c>
      <c r="B62" s="201">
        <v>58</v>
      </c>
      <c r="C62">
        <v>661</v>
      </c>
      <c r="D62">
        <v>1487</v>
      </c>
      <c r="E62" s="129" t="s">
        <v>23</v>
      </c>
      <c r="F62">
        <v>48</v>
      </c>
      <c r="G62">
        <v>3</v>
      </c>
      <c r="H62">
        <v>185</v>
      </c>
      <c r="I62">
        <v>12</v>
      </c>
      <c r="J62">
        <v>201</v>
      </c>
      <c r="K62">
        <v>14</v>
      </c>
      <c r="L62">
        <v>225</v>
      </c>
      <c r="M62">
        <v>15</v>
      </c>
      <c r="N62">
        <v>505</v>
      </c>
      <c r="O62">
        <v>34</v>
      </c>
      <c r="P62">
        <v>323</v>
      </c>
      <c r="Q62">
        <v>22</v>
      </c>
    </row>
    <row r="63" spans="1:17" x14ac:dyDescent="0.35">
      <c r="A63" t="s">
        <v>17</v>
      </c>
      <c r="B63" s="201">
        <v>59</v>
      </c>
      <c r="C63">
        <v>645</v>
      </c>
      <c r="D63">
        <v>1383</v>
      </c>
      <c r="E63" s="129" t="s">
        <v>34</v>
      </c>
      <c r="F63">
        <v>59</v>
      </c>
      <c r="G63">
        <v>4</v>
      </c>
      <c r="H63">
        <v>154</v>
      </c>
      <c r="I63">
        <v>11</v>
      </c>
      <c r="J63">
        <v>222</v>
      </c>
      <c r="K63">
        <v>16</v>
      </c>
      <c r="L63">
        <v>281</v>
      </c>
      <c r="M63">
        <v>20</v>
      </c>
      <c r="N63">
        <v>414</v>
      </c>
      <c r="O63">
        <v>30</v>
      </c>
      <c r="P63">
        <v>253</v>
      </c>
      <c r="Q63">
        <v>18</v>
      </c>
    </row>
    <row r="64" spans="1:17" x14ac:dyDescent="0.35">
      <c r="A64" t="s">
        <v>17</v>
      </c>
      <c r="B64" s="201">
        <v>60</v>
      </c>
      <c r="C64">
        <v>646</v>
      </c>
      <c r="D64">
        <v>1335</v>
      </c>
      <c r="E64" s="129" t="s">
        <v>34</v>
      </c>
      <c r="F64">
        <v>62</v>
      </c>
      <c r="G64">
        <v>5</v>
      </c>
      <c r="H64">
        <v>213</v>
      </c>
      <c r="I64">
        <v>16</v>
      </c>
      <c r="J64">
        <v>204</v>
      </c>
      <c r="K64">
        <v>15</v>
      </c>
      <c r="L64">
        <v>257</v>
      </c>
      <c r="M64">
        <v>19</v>
      </c>
      <c r="N64">
        <v>403</v>
      </c>
      <c r="O64">
        <v>30</v>
      </c>
      <c r="P64">
        <v>196</v>
      </c>
      <c r="Q64">
        <v>15</v>
      </c>
    </row>
    <row r="65" spans="1:17" x14ac:dyDescent="0.35">
      <c r="A65" t="s">
        <v>17</v>
      </c>
      <c r="B65" s="201">
        <v>61</v>
      </c>
      <c r="C65">
        <v>130</v>
      </c>
      <c r="D65">
        <v>371</v>
      </c>
      <c r="E65" s="129" t="s">
        <v>29</v>
      </c>
      <c r="F65">
        <v>12</v>
      </c>
      <c r="G65">
        <v>3</v>
      </c>
      <c r="H65">
        <v>77</v>
      </c>
      <c r="I65">
        <v>21</v>
      </c>
      <c r="J65">
        <v>59</v>
      </c>
      <c r="K65">
        <v>16</v>
      </c>
      <c r="L65">
        <v>73</v>
      </c>
      <c r="M65">
        <v>20</v>
      </c>
      <c r="N65">
        <v>95</v>
      </c>
      <c r="O65">
        <v>26</v>
      </c>
      <c r="P65">
        <v>55</v>
      </c>
      <c r="Q65">
        <v>15</v>
      </c>
    </row>
    <row r="66" spans="1:17" x14ac:dyDescent="0.35">
      <c r="A66" t="s">
        <v>17</v>
      </c>
      <c r="B66" s="201">
        <v>62</v>
      </c>
      <c r="C66">
        <v>974</v>
      </c>
      <c r="D66">
        <v>2047</v>
      </c>
      <c r="E66" s="129" t="s">
        <v>34</v>
      </c>
      <c r="F66">
        <v>109</v>
      </c>
      <c r="G66">
        <v>5</v>
      </c>
      <c r="H66">
        <v>281</v>
      </c>
      <c r="I66">
        <v>14</v>
      </c>
      <c r="J66">
        <v>244</v>
      </c>
      <c r="K66">
        <v>12</v>
      </c>
      <c r="L66">
        <v>429</v>
      </c>
      <c r="M66">
        <v>21</v>
      </c>
      <c r="N66">
        <v>610</v>
      </c>
      <c r="O66">
        <v>30</v>
      </c>
      <c r="P66">
        <v>374</v>
      </c>
      <c r="Q66">
        <v>18</v>
      </c>
    </row>
    <row r="67" spans="1:17" x14ac:dyDescent="0.35">
      <c r="A67" t="s">
        <v>17</v>
      </c>
      <c r="B67" s="201">
        <v>63</v>
      </c>
      <c r="C67">
        <v>3653</v>
      </c>
      <c r="D67">
        <v>8077</v>
      </c>
      <c r="E67" s="129" t="s">
        <v>23</v>
      </c>
      <c r="F67">
        <v>410</v>
      </c>
      <c r="G67">
        <v>5</v>
      </c>
      <c r="H67">
        <v>1230</v>
      </c>
      <c r="I67">
        <v>15</v>
      </c>
      <c r="J67">
        <v>957</v>
      </c>
      <c r="K67">
        <v>12</v>
      </c>
      <c r="L67">
        <v>1557</v>
      </c>
      <c r="M67">
        <v>19</v>
      </c>
      <c r="N67">
        <v>2340</v>
      </c>
      <c r="O67">
        <v>29</v>
      </c>
      <c r="P67">
        <v>1583</v>
      </c>
      <c r="Q67">
        <v>20</v>
      </c>
    </row>
    <row r="68" spans="1:17" x14ac:dyDescent="0.35">
      <c r="A68" t="s">
        <v>17</v>
      </c>
      <c r="B68" s="201">
        <v>64</v>
      </c>
      <c r="C68">
        <v>377</v>
      </c>
      <c r="D68">
        <v>573</v>
      </c>
      <c r="E68" s="129" t="s">
        <v>33</v>
      </c>
      <c r="F68">
        <v>30</v>
      </c>
      <c r="G68">
        <v>5</v>
      </c>
      <c r="H68">
        <v>79</v>
      </c>
      <c r="I68">
        <v>14</v>
      </c>
      <c r="J68">
        <v>64</v>
      </c>
      <c r="K68">
        <v>11</v>
      </c>
      <c r="L68">
        <v>112</v>
      </c>
      <c r="M68">
        <v>20</v>
      </c>
      <c r="N68">
        <v>161</v>
      </c>
      <c r="O68">
        <v>28</v>
      </c>
      <c r="P68">
        <v>127</v>
      </c>
      <c r="Q68">
        <v>22</v>
      </c>
    </row>
    <row r="69" spans="1:17" x14ac:dyDescent="0.35">
      <c r="A69" t="s">
        <v>17</v>
      </c>
      <c r="B69" s="201">
        <v>65</v>
      </c>
      <c r="C69">
        <v>834</v>
      </c>
      <c r="D69">
        <v>1949</v>
      </c>
      <c r="E69" s="129" t="s">
        <v>18</v>
      </c>
      <c r="F69">
        <v>92</v>
      </c>
      <c r="G69">
        <v>5</v>
      </c>
      <c r="H69">
        <v>289</v>
      </c>
      <c r="I69">
        <v>15</v>
      </c>
      <c r="J69">
        <v>266</v>
      </c>
      <c r="K69">
        <v>14</v>
      </c>
      <c r="L69">
        <v>366</v>
      </c>
      <c r="M69">
        <v>19</v>
      </c>
      <c r="N69">
        <v>569</v>
      </c>
      <c r="O69">
        <v>29</v>
      </c>
      <c r="P69">
        <v>367</v>
      </c>
      <c r="Q69">
        <v>19</v>
      </c>
    </row>
    <row r="70" spans="1:17" x14ac:dyDescent="0.35">
      <c r="A70" t="s">
        <v>17</v>
      </c>
      <c r="B70" s="201">
        <v>66</v>
      </c>
      <c r="C70">
        <v>748</v>
      </c>
      <c r="D70">
        <v>1489</v>
      </c>
      <c r="E70" s="129" t="s">
        <v>19</v>
      </c>
      <c r="F70">
        <v>74</v>
      </c>
      <c r="G70">
        <v>5</v>
      </c>
      <c r="H70">
        <v>208</v>
      </c>
      <c r="I70">
        <v>14</v>
      </c>
      <c r="J70">
        <v>152</v>
      </c>
      <c r="K70">
        <v>10</v>
      </c>
      <c r="L70">
        <v>330</v>
      </c>
      <c r="M70">
        <v>22</v>
      </c>
      <c r="N70">
        <v>401</v>
      </c>
      <c r="O70">
        <v>27</v>
      </c>
      <c r="P70">
        <v>324</v>
      </c>
      <c r="Q70">
        <v>22</v>
      </c>
    </row>
    <row r="71" spans="1:17" x14ac:dyDescent="0.35">
      <c r="A71" t="s">
        <v>17</v>
      </c>
      <c r="B71" s="201">
        <v>67</v>
      </c>
      <c r="C71">
        <v>2140</v>
      </c>
      <c r="D71">
        <v>4534</v>
      </c>
      <c r="E71" s="129" t="s">
        <v>34</v>
      </c>
      <c r="F71">
        <v>279</v>
      </c>
      <c r="G71">
        <v>6</v>
      </c>
      <c r="H71">
        <v>573</v>
      </c>
      <c r="I71">
        <v>13</v>
      </c>
      <c r="J71">
        <v>545</v>
      </c>
      <c r="K71">
        <v>12</v>
      </c>
      <c r="L71">
        <v>910</v>
      </c>
      <c r="M71">
        <v>20</v>
      </c>
      <c r="N71">
        <v>1308</v>
      </c>
      <c r="O71">
        <v>29</v>
      </c>
      <c r="P71">
        <v>919</v>
      </c>
      <c r="Q71">
        <v>20</v>
      </c>
    </row>
    <row r="72" spans="1:17" x14ac:dyDescent="0.35">
      <c r="A72" s="203" t="s">
        <v>17</v>
      </c>
      <c r="B72" s="204">
        <v>68</v>
      </c>
      <c r="C72" s="203">
        <v>2759</v>
      </c>
      <c r="D72" s="203">
        <v>5964</v>
      </c>
      <c r="E72" s="205" t="s">
        <v>23</v>
      </c>
      <c r="F72" s="203">
        <v>325</v>
      </c>
      <c r="G72" s="203">
        <v>5</v>
      </c>
      <c r="H72" s="203">
        <v>824</v>
      </c>
      <c r="I72" s="203">
        <v>14</v>
      </c>
      <c r="J72" s="203">
        <v>759</v>
      </c>
      <c r="K72" s="203">
        <v>13</v>
      </c>
      <c r="L72" s="203">
        <v>1300</v>
      </c>
      <c r="M72" s="203">
        <v>22</v>
      </c>
      <c r="N72" s="203">
        <v>1756</v>
      </c>
      <c r="O72" s="203">
        <v>29</v>
      </c>
      <c r="P72" s="203">
        <v>1000</v>
      </c>
      <c r="Q72" s="203">
        <v>17</v>
      </c>
    </row>
    <row r="73" spans="1:17" x14ac:dyDescent="0.35">
      <c r="A73" t="s">
        <v>31</v>
      </c>
      <c r="B73" s="201">
        <v>89</v>
      </c>
      <c r="C73">
        <v>1306</v>
      </c>
      <c r="D73">
        <v>3477</v>
      </c>
      <c r="E73" s="129" t="s">
        <v>20</v>
      </c>
      <c r="F73">
        <v>130</v>
      </c>
      <c r="G73">
        <v>4</v>
      </c>
      <c r="H73">
        <v>669</v>
      </c>
      <c r="I73">
        <v>19</v>
      </c>
      <c r="J73">
        <v>548</v>
      </c>
      <c r="K73">
        <v>16</v>
      </c>
      <c r="L73">
        <v>511</v>
      </c>
      <c r="M73">
        <v>15</v>
      </c>
      <c r="N73">
        <v>1136</v>
      </c>
      <c r="O73">
        <v>33</v>
      </c>
      <c r="P73">
        <v>483</v>
      </c>
      <c r="Q73">
        <v>14</v>
      </c>
    </row>
    <row r="74" spans="1:17" x14ac:dyDescent="0.35">
      <c r="A74" s="203" t="s">
        <v>30</v>
      </c>
      <c r="B74" s="204">
        <v>31</v>
      </c>
      <c r="C74" s="203">
        <v>720</v>
      </c>
      <c r="D74" s="203">
        <v>1636</v>
      </c>
      <c r="E74" s="205" t="s">
        <v>18</v>
      </c>
      <c r="F74" s="203">
        <v>76</v>
      </c>
      <c r="G74" s="203">
        <v>5</v>
      </c>
      <c r="H74" s="203">
        <v>217</v>
      </c>
      <c r="I74" s="203">
        <v>13</v>
      </c>
      <c r="J74" s="203">
        <v>232</v>
      </c>
      <c r="K74" s="203">
        <v>14</v>
      </c>
      <c r="L74" s="203">
        <v>350</v>
      </c>
      <c r="M74" s="203">
        <v>21</v>
      </c>
      <c r="N74" s="203">
        <v>514</v>
      </c>
      <c r="O74" s="203">
        <v>31</v>
      </c>
      <c r="P74" s="203">
        <v>247</v>
      </c>
      <c r="Q74" s="203">
        <v>15</v>
      </c>
    </row>
    <row r="75" spans="1:17" x14ac:dyDescent="0.35">
      <c r="A75" t="s">
        <v>30</v>
      </c>
      <c r="B75" s="201">
        <v>32</v>
      </c>
      <c r="C75">
        <v>2072</v>
      </c>
      <c r="D75">
        <v>5083</v>
      </c>
      <c r="E75" s="129" t="s">
        <v>24</v>
      </c>
      <c r="F75">
        <v>331</v>
      </c>
      <c r="G75">
        <v>7</v>
      </c>
      <c r="H75">
        <v>836</v>
      </c>
      <c r="I75">
        <v>16</v>
      </c>
      <c r="J75">
        <v>708</v>
      </c>
      <c r="K75">
        <v>14</v>
      </c>
      <c r="L75">
        <v>1218</v>
      </c>
      <c r="M75">
        <v>24</v>
      </c>
      <c r="N75">
        <v>1392</v>
      </c>
      <c r="O75">
        <v>27</v>
      </c>
      <c r="P75">
        <v>598</v>
      </c>
      <c r="Q75">
        <v>12</v>
      </c>
    </row>
    <row r="76" spans="1:17" x14ac:dyDescent="0.35">
      <c r="A76" t="s">
        <v>30</v>
      </c>
      <c r="B76" s="201">
        <v>33</v>
      </c>
      <c r="C76">
        <v>1612</v>
      </c>
      <c r="D76">
        <v>3613</v>
      </c>
      <c r="E76" s="129" t="s">
        <v>23</v>
      </c>
      <c r="F76">
        <v>217</v>
      </c>
      <c r="G76">
        <v>6</v>
      </c>
      <c r="H76">
        <v>688</v>
      </c>
      <c r="I76">
        <v>19</v>
      </c>
      <c r="J76">
        <v>406</v>
      </c>
      <c r="K76">
        <v>11</v>
      </c>
      <c r="L76">
        <v>875</v>
      </c>
      <c r="M76">
        <v>24</v>
      </c>
      <c r="N76">
        <v>1012</v>
      </c>
      <c r="O76">
        <v>28</v>
      </c>
      <c r="P76">
        <v>415</v>
      </c>
      <c r="Q76">
        <v>11</v>
      </c>
    </row>
    <row r="77" spans="1:17" x14ac:dyDescent="0.35">
      <c r="A77" t="s">
        <v>30</v>
      </c>
      <c r="B77" s="201">
        <v>34</v>
      </c>
      <c r="C77">
        <v>737</v>
      </c>
      <c r="D77">
        <v>1735</v>
      </c>
      <c r="E77" s="129" t="s">
        <v>28</v>
      </c>
      <c r="F77">
        <v>100</v>
      </c>
      <c r="G77">
        <v>6</v>
      </c>
      <c r="H77">
        <v>264</v>
      </c>
      <c r="I77">
        <v>15</v>
      </c>
      <c r="J77">
        <v>212</v>
      </c>
      <c r="K77">
        <v>12</v>
      </c>
      <c r="L77">
        <v>377</v>
      </c>
      <c r="M77">
        <v>22</v>
      </c>
      <c r="N77">
        <v>455</v>
      </c>
      <c r="O77">
        <v>26</v>
      </c>
      <c r="P77">
        <v>327</v>
      </c>
      <c r="Q77">
        <v>19</v>
      </c>
    </row>
    <row r="78" spans="1:17" x14ac:dyDescent="0.35">
      <c r="A78" t="s">
        <v>30</v>
      </c>
      <c r="B78" s="201">
        <v>35</v>
      </c>
      <c r="C78">
        <v>677</v>
      </c>
      <c r="D78">
        <v>1547</v>
      </c>
      <c r="E78" s="129" t="s">
        <v>18</v>
      </c>
      <c r="F78">
        <v>89</v>
      </c>
      <c r="G78">
        <v>6</v>
      </c>
      <c r="H78">
        <v>230</v>
      </c>
      <c r="I78">
        <v>15</v>
      </c>
      <c r="J78">
        <v>206</v>
      </c>
      <c r="K78">
        <v>13</v>
      </c>
      <c r="L78">
        <v>327</v>
      </c>
      <c r="M78">
        <v>21</v>
      </c>
      <c r="N78">
        <v>428</v>
      </c>
      <c r="O78">
        <v>28</v>
      </c>
      <c r="P78">
        <v>267</v>
      </c>
      <c r="Q78">
        <v>17</v>
      </c>
    </row>
    <row r="79" spans="1:17" x14ac:dyDescent="0.35">
      <c r="A79" t="s">
        <v>30</v>
      </c>
      <c r="B79" s="201">
        <v>43</v>
      </c>
      <c r="C79">
        <v>1930</v>
      </c>
      <c r="D79">
        <v>4625</v>
      </c>
      <c r="E79" s="129" t="s">
        <v>28</v>
      </c>
      <c r="F79">
        <v>277</v>
      </c>
      <c r="G79">
        <v>6</v>
      </c>
      <c r="H79">
        <v>696</v>
      </c>
      <c r="I79">
        <v>15</v>
      </c>
      <c r="J79">
        <v>619</v>
      </c>
      <c r="K79">
        <v>13</v>
      </c>
      <c r="L79">
        <v>1043</v>
      </c>
      <c r="M79">
        <v>23</v>
      </c>
      <c r="N79">
        <v>1419</v>
      </c>
      <c r="O79">
        <v>31</v>
      </c>
      <c r="P79">
        <v>571</v>
      </c>
      <c r="Q79">
        <v>12</v>
      </c>
    </row>
    <row r="80" spans="1:17" x14ac:dyDescent="0.35">
      <c r="A80" s="203" t="s">
        <v>30</v>
      </c>
      <c r="B80" s="204">
        <v>44</v>
      </c>
      <c r="C80" s="203">
        <v>783</v>
      </c>
      <c r="D80" s="203">
        <v>1780</v>
      </c>
      <c r="E80" s="205" t="s">
        <v>18</v>
      </c>
      <c r="F80" s="203">
        <v>114</v>
      </c>
      <c r="G80" s="203">
        <v>6</v>
      </c>
      <c r="H80" s="203">
        <v>244</v>
      </c>
      <c r="I80" s="203">
        <v>14</v>
      </c>
      <c r="J80" s="203">
        <v>234</v>
      </c>
      <c r="K80" s="203">
        <v>13</v>
      </c>
      <c r="L80" s="203">
        <v>404</v>
      </c>
      <c r="M80" s="203">
        <v>23</v>
      </c>
      <c r="N80" s="203">
        <v>496</v>
      </c>
      <c r="O80" s="203">
        <v>28</v>
      </c>
      <c r="P80" s="203">
        <v>288</v>
      </c>
      <c r="Q80" s="203">
        <v>16</v>
      </c>
    </row>
    <row r="81" spans="1:17" x14ac:dyDescent="0.35">
      <c r="A81" t="s">
        <v>30</v>
      </c>
      <c r="B81" s="201">
        <v>46</v>
      </c>
      <c r="C81">
        <v>1543</v>
      </c>
      <c r="D81">
        <v>3454</v>
      </c>
      <c r="E81" s="129" t="s">
        <v>23</v>
      </c>
      <c r="F81">
        <v>188</v>
      </c>
      <c r="G81">
        <v>5</v>
      </c>
      <c r="H81">
        <v>554</v>
      </c>
      <c r="I81">
        <v>16</v>
      </c>
      <c r="J81">
        <v>432</v>
      </c>
      <c r="K81">
        <v>13</v>
      </c>
      <c r="L81">
        <v>777</v>
      </c>
      <c r="M81">
        <v>22</v>
      </c>
      <c r="N81">
        <v>1002</v>
      </c>
      <c r="O81">
        <v>29</v>
      </c>
      <c r="P81">
        <v>501</v>
      </c>
      <c r="Q81">
        <v>15</v>
      </c>
    </row>
    <row r="82" spans="1:17" x14ac:dyDescent="0.35">
      <c r="C82"/>
      <c r="E82" s="129"/>
    </row>
    <row r="83" spans="1:17" x14ac:dyDescent="0.35">
      <c r="A83" s="200" t="s">
        <v>242</v>
      </c>
      <c r="C83"/>
      <c r="E83" s="129"/>
    </row>
    <row r="84" spans="1:17" x14ac:dyDescent="0.35">
      <c r="A84" s="310" t="s">
        <v>16</v>
      </c>
      <c r="B84" s="312" t="s">
        <v>228</v>
      </c>
      <c r="C84" s="313" t="s">
        <v>229</v>
      </c>
      <c r="D84" s="309" t="s">
        <v>230</v>
      </c>
      <c r="E84" s="309" t="s">
        <v>5</v>
      </c>
      <c r="F84" s="309" t="s">
        <v>231</v>
      </c>
      <c r="G84" s="309"/>
      <c r="H84" s="309" t="s">
        <v>232</v>
      </c>
      <c r="I84" s="309"/>
      <c r="J84" s="309" t="s">
        <v>233</v>
      </c>
      <c r="K84" s="309"/>
      <c r="L84" s="309" t="s">
        <v>234</v>
      </c>
      <c r="M84" s="309"/>
      <c r="N84" s="309" t="s">
        <v>235</v>
      </c>
      <c r="O84" s="309"/>
      <c r="P84" s="309" t="s">
        <v>236</v>
      </c>
      <c r="Q84" s="309"/>
    </row>
    <row r="85" spans="1:17" ht="14.5" customHeight="1" x14ac:dyDescent="0.35">
      <c r="A85" s="311"/>
      <c r="B85" s="312"/>
      <c r="C85" s="313"/>
      <c r="D85" s="309"/>
      <c r="E85" s="309"/>
      <c r="F85" s="202" t="s">
        <v>237</v>
      </c>
      <c r="G85" s="202" t="s">
        <v>238</v>
      </c>
      <c r="H85" s="202" t="s">
        <v>237</v>
      </c>
      <c r="I85" s="202" t="s">
        <v>238</v>
      </c>
      <c r="J85" s="202" t="s">
        <v>237</v>
      </c>
      <c r="K85" s="202" t="s">
        <v>238</v>
      </c>
      <c r="L85" s="202" t="s">
        <v>237</v>
      </c>
      <c r="M85" s="202" t="s">
        <v>238</v>
      </c>
      <c r="N85" s="202" t="s">
        <v>237</v>
      </c>
      <c r="O85" s="202" t="s">
        <v>238</v>
      </c>
      <c r="P85" s="202" t="s">
        <v>237</v>
      </c>
      <c r="Q85" s="202" t="s">
        <v>238</v>
      </c>
    </row>
    <row r="86" spans="1:17" x14ac:dyDescent="0.35">
      <c r="A86" t="s">
        <v>27</v>
      </c>
      <c r="B86" s="201">
        <v>1</v>
      </c>
      <c r="C86">
        <v>426</v>
      </c>
      <c r="D86">
        <v>1020</v>
      </c>
      <c r="E86" s="130" t="s">
        <v>28</v>
      </c>
      <c r="F86">
        <v>88</v>
      </c>
      <c r="G86">
        <v>9</v>
      </c>
      <c r="H86">
        <v>162</v>
      </c>
      <c r="I86">
        <v>16</v>
      </c>
      <c r="J86">
        <v>106</v>
      </c>
      <c r="K86">
        <v>10</v>
      </c>
      <c r="L86">
        <v>298</v>
      </c>
      <c r="M86">
        <v>29</v>
      </c>
      <c r="N86">
        <v>224</v>
      </c>
      <c r="O86">
        <v>22</v>
      </c>
      <c r="P86">
        <v>137</v>
      </c>
      <c r="Q86">
        <v>13</v>
      </c>
    </row>
    <row r="87" spans="1:17" x14ac:dyDescent="0.35">
      <c r="A87" s="203" t="s">
        <v>27</v>
      </c>
      <c r="B87" s="204">
        <v>2</v>
      </c>
      <c r="C87" s="203">
        <v>1287</v>
      </c>
      <c r="D87" s="203">
        <v>3356</v>
      </c>
      <c r="E87" s="207" t="s">
        <v>21</v>
      </c>
      <c r="F87" s="203">
        <v>187</v>
      </c>
      <c r="G87" s="203">
        <v>6</v>
      </c>
      <c r="H87" s="203">
        <v>576</v>
      </c>
      <c r="I87" s="203">
        <v>17</v>
      </c>
      <c r="J87" s="203">
        <v>383</v>
      </c>
      <c r="K87" s="203">
        <v>11</v>
      </c>
      <c r="L87" s="203">
        <v>774</v>
      </c>
      <c r="M87" s="203">
        <v>23</v>
      </c>
      <c r="N87" s="203">
        <v>895</v>
      </c>
      <c r="O87" s="203">
        <v>27</v>
      </c>
      <c r="P87" s="203">
        <v>536</v>
      </c>
      <c r="Q87" s="203">
        <v>16</v>
      </c>
    </row>
    <row r="88" spans="1:17" x14ac:dyDescent="0.35">
      <c r="A88" s="203" t="s">
        <v>27</v>
      </c>
      <c r="B88" s="204">
        <v>3</v>
      </c>
      <c r="C88" s="203">
        <v>1003</v>
      </c>
      <c r="D88" s="203">
        <v>2603</v>
      </c>
      <c r="E88" s="207" t="s">
        <v>21</v>
      </c>
      <c r="F88" s="203">
        <v>146</v>
      </c>
      <c r="G88" s="203">
        <v>6</v>
      </c>
      <c r="H88" s="203">
        <v>432</v>
      </c>
      <c r="I88" s="203">
        <v>17</v>
      </c>
      <c r="J88" s="203">
        <v>326</v>
      </c>
      <c r="K88" s="203">
        <v>13</v>
      </c>
      <c r="L88" s="203">
        <v>473</v>
      </c>
      <c r="M88" s="203">
        <v>18</v>
      </c>
      <c r="N88" s="203">
        <v>789</v>
      </c>
      <c r="O88" s="203">
        <v>30</v>
      </c>
      <c r="P88" s="203">
        <v>436</v>
      </c>
      <c r="Q88" s="203">
        <v>17</v>
      </c>
    </row>
    <row r="89" spans="1:17" x14ac:dyDescent="0.35">
      <c r="A89" t="s">
        <v>27</v>
      </c>
      <c r="B89" s="201">
        <v>4</v>
      </c>
      <c r="C89">
        <v>550</v>
      </c>
      <c r="D89">
        <v>1365</v>
      </c>
      <c r="E89" s="130" t="s">
        <v>24</v>
      </c>
      <c r="F89">
        <v>94</v>
      </c>
      <c r="G89">
        <v>7</v>
      </c>
      <c r="H89">
        <v>201</v>
      </c>
      <c r="I89">
        <v>15</v>
      </c>
      <c r="J89">
        <v>167</v>
      </c>
      <c r="K89">
        <v>12</v>
      </c>
      <c r="L89">
        <v>362</v>
      </c>
      <c r="M89">
        <v>27</v>
      </c>
      <c r="N89">
        <v>365</v>
      </c>
      <c r="O89">
        <v>27</v>
      </c>
      <c r="P89">
        <v>174</v>
      </c>
      <c r="Q89">
        <v>13</v>
      </c>
    </row>
    <row r="90" spans="1:17" x14ac:dyDescent="0.35">
      <c r="A90" t="s">
        <v>27</v>
      </c>
      <c r="B90" s="201">
        <v>5</v>
      </c>
      <c r="C90">
        <v>499</v>
      </c>
      <c r="D90">
        <v>1263</v>
      </c>
      <c r="E90" s="130" t="s">
        <v>24</v>
      </c>
      <c r="F90">
        <v>55</v>
      </c>
      <c r="G90">
        <v>4</v>
      </c>
      <c r="H90">
        <v>181</v>
      </c>
      <c r="I90">
        <v>14</v>
      </c>
      <c r="J90">
        <v>181</v>
      </c>
      <c r="K90">
        <v>14</v>
      </c>
      <c r="L90">
        <v>203</v>
      </c>
      <c r="M90">
        <v>16</v>
      </c>
      <c r="N90">
        <v>396</v>
      </c>
      <c r="O90">
        <v>31</v>
      </c>
      <c r="P90">
        <v>246</v>
      </c>
      <c r="Q90">
        <v>19</v>
      </c>
    </row>
    <row r="91" spans="1:17" x14ac:dyDescent="0.35">
      <c r="A91" t="s">
        <v>27</v>
      </c>
      <c r="B91" s="201">
        <v>6</v>
      </c>
      <c r="C91">
        <v>1309</v>
      </c>
      <c r="D91">
        <v>3212</v>
      </c>
      <c r="E91" s="130" t="s">
        <v>24</v>
      </c>
      <c r="F91">
        <v>225</v>
      </c>
      <c r="G91">
        <v>7</v>
      </c>
      <c r="H91">
        <v>522</v>
      </c>
      <c r="I91">
        <v>16</v>
      </c>
      <c r="J91">
        <v>400</v>
      </c>
      <c r="K91">
        <v>12</v>
      </c>
      <c r="L91">
        <v>791</v>
      </c>
      <c r="M91">
        <v>25</v>
      </c>
      <c r="N91">
        <v>880</v>
      </c>
      <c r="O91">
        <v>27</v>
      </c>
      <c r="P91">
        <v>386</v>
      </c>
      <c r="Q91">
        <v>12</v>
      </c>
    </row>
    <row r="92" spans="1:17" x14ac:dyDescent="0.35">
      <c r="A92" t="s">
        <v>27</v>
      </c>
      <c r="B92" s="201">
        <v>7</v>
      </c>
      <c r="C92">
        <v>510</v>
      </c>
      <c r="D92">
        <v>1160</v>
      </c>
      <c r="E92" s="130" t="s">
        <v>18</v>
      </c>
      <c r="F92">
        <v>111</v>
      </c>
      <c r="G92">
        <v>10</v>
      </c>
      <c r="H92">
        <v>191</v>
      </c>
      <c r="I92">
        <v>16</v>
      </c>
      <c r="J92">
        <v>132</v>
      </c>
      <c r="K92">
        <v>11</v>
      </c>
      <c r="L92">
        <v>329</v>
      </c>
      <c r="M92">
        <v>28</v>
      </c>
      <c r="N92">
        <v>297</v>
      </c>
      <c r="O92">
        <v>26</v>
      </c>
      <c r="P92">
        <v>97</v>
      </c>
      <c r="Q92">
        <v>8</v>
      </c>
    </row>
    <row r="93" spans="1:17" x14ac:dyDescent="0.35">
      <c r="A93" t="s">
        <v>27</v>
      </c>
      <c r="B93" s="201">
        <v>8</v>
      </c>
      <c r="C93">
        <v>1151</v>
      </c>
      <c r="D93">
        <v>3080</v>
      </c>
      <c r="E93" s="130" t="s">
        <v>20</v>
      </c>
      <c r="F93">
        <v>228</v>
      </c>
      <c r="G93">
        <v>7</v>
      </c>
      <c r="H93">
        <v>600</v>
      </c>
      <c r="I93">
        <v>19</v>
      </c>
      <c r="J93">
        <v>379</v>
      </c>
      <c r="K93">
        <v>12</v>
      </c>
      <c r="L93">
        <v>834</v>
      </c>
      <c r="M93">
        <v>27</v>
      </c>
      <c r="N93">
        <v>749</v>
      </c>
      <c r="O93">
        <v>24</v>
      </c>
      <c r="P93">
        <v>283</v>
      </c>
      <c r="Q93">
        <v>9</v>
      </c>
    </row>
    <row r="94" spans="1:17" x14ac:dyDescent="0.35">
      <c r="A94" t="s">
        <v>27</v>
      </c>
      <c r="B94" s="201">
        <v>9</v>
      </c>
      <c r="C94">
        <v>604</v>
      </c>
      <c r="D94">
        <v>1464</v>
      </c>
      <c r="E94" s="130" t="s">
        <v>28</v>
      </c>
      <c r="F94">
        <v>72</v>
      </c>
      <c r="G94">
        <v>5</v>
      </c>
      <c r="H94">
        <v>278</v>
      </c>
      <c r="I94">
        <v>19</v>
      </c>
      <c r="J94">
        <v>137</v>
      </c>
      <c r="K94">
        <v>9</v>
      </c>
      <c r="L94">
        <v>290</v>
      </c>
      <c r="M94">
        <v>20</v>
      </c>
      <c r="N94">
        <v>403</v>
      </c>
      <c r="O94">
        <v>28</v>
      </c>
      <c r="P94">
        <v>282</v>
      </c>
      <c r="Q94">
        <v>19</v>
      </c>
    </row>
    <row r="95" spans="1:17" x14ac:dyDescent="0.35">
      <c r="A95" t="s">
        <v>17</v>
      </c>
      <c r="B95" s="201">
        <v>19</v>
      </c>
      <c r="C95">
        <v>52</v>
      </c>
      <c r="D95">
        <v>154</v>
      </c>
      <c r="E95" s="130" t="s">
        <v>26</v>
      </c>
      <c r="F95">
        <v>11</v>
      </c>
      <c r="G95">
        <v>7</v>
      </c>
      <c r="H95">
        <v>16</v>
      </c>
      <c r="I95">
        <v>10</v>
      </c>
      <c r="J95">
        <v>17</v>
      </c>
      <c r="K95">
        <v>11</v>
      </c>
      <c r="L95">
        <v>30</v>
      </c>
      <c r="M95">
        <v>19</v>
      </c>
      <c r="N95">
        <v>43</v>
      </c>
      <c r="O95">
        <v>28</v>
      </c>
      <c r="P95">
        <v>37</v>
      </c>
      <c r="Q95">
        <v>24</v>
      </c>
    </row>
    <row r="96" spans="1:17" x14ac:dyDescent="0.35">
      <c r="A96" t="s">
        <v>17</v>
      </c>
      <c r="B96" s="201">
        <v>20</v>
      </c>
      <c r="C96">
        <v>39</v>
      </c>
      <c r="D96">
        <v>90</v>
      </c>
      <c r="E96" s="130" t="s">
        <v>18</v>
      </c>
      <c r="F96">
        <v>9</v>
      </c>
      <c r="G96">
        <v>10</v>
      </c>
      <c r="H96">
        <v>12</v>
      </c>
      <c r="I96">
        <v>13</v>
      </c>
      <c r="J96">
        <v>13</v>
      </c>
      <c r="K96">
        <v>14</v>
      </c>
      <c r="L96">
        <v>21</v>
      </c>
      <c r="M96">
        <v>23</v>
      </c>
      <c r="N96">
        <v>22</v>
      </c>
      <c r="O96">
        <v>24</v>
      </c>
      <c r="P96">
        <v>13</v>
      </c>
      <c r="Q96">
        <v>14</v>
      </c>
    </row>
    <row r="97" spans="1:17" x14ac:dyDescent="0.35">
      <c r="A97" t="s">
        <v>17</v>
      </c>
      <c r="B97" s="201">
        <v>22</v>
      </c>
      <c r="C97">
        <v>338</v>
      </c>
      <c r="D97">
        <v>566</v>
      </c>
      <c r="E97" s="130" t="s">
        <v>36</v>
      </c>
      <c r="F97">
        <v>18</v>
      </c>
      <c r="G97">
        <v>3</v>
      </c>
      <c r="H97">
        <v>94</v>
      </c>
      <c r="I97">
        <v>17</v>
      </c>
      <c r="J97">
        <v>66</v>
      </c>
      <c r="K97">
        <v>12</v>
      </c>
      <c r="L97">
        <v>107</v>
      </c>
      <c r="M97">
        <v>19</v>
      </c>
      <c r="N97">
        <v>181</v>
      </c>
      <c r="O97">
        <v>32</v>
      </c>
      <c r="P97">
        <v>100</v>
      </c>
      <c r="Q97">
        <v>18</v>
      </c>
    </row>
    <row r="98" spans="1:17" x14ac:dyDescent="0.35">
      <c r="A98" t="s">
        <v>17</v>
      </c>
      <c r="B98" s="201">
        <v>23</v>
      </c>
      <c r="C98">
        <v>170</v>
      </c>
      <c r="D98">
        <v>195</v>
      </c>
      <c r="E98" s="130" t="s">
        <v>243</v>
      </c>
      <c r="F98">
        <v>7</v>
      </c>
      <c r="G98">
        <v>4</v>
      </c>
      <c r="H98">
        <v>22</v>
      </c>
      <c r="I98">
        <v>11</v>
      </c>
      <c r="J98">
        <v>38</v>
      </c>
      <c r="K98">
        <v>19</v>
      </c>
      <c r="L98">
        <v>42</v>
      </c>
      <c r="M98">
        <v>22</v>
      </c>
      <c r="N98">
        <v>45</v>
      </c>
      <c r="O98">
        <v>23</v>
      </c>
      <c r="P98">
        <v>41</v>
      </c>
      <c r="Q98">
        <v>21</v>
      </c>
    </row>
    <row r="99" spans="1:17" x14ac:dyDescent="0.35">
      <c r="A99" t="s">
        <v>17</v>
      </c>
      <c r="B99" s="201">
        <v>52</v>
      </c>
      <c r="C99">
        <v>429</v>
      </c>
      <c r="D99">
        <v>1039</v>
      </c>
      <c r="E99" s="130" t="s">
        <v>28</v>
      </c>
      <c r="F99">
        <v>71</v>
      </c>
      <c r="G99">
        <v>7</v>
      </c>
      <c r="H99">
        <v>120</v>
      </c>
      <c r="I99">
        <v>12</v>
      </c>
      <c r="J99">
        <v>111</v>
      </c>
      <c r="K99">
        <v>11</v>
      </c>
      <c r="L99">
        <v>215</v>
      </c>
      <c r="M99">
        <v>21</v>
      </c>
      <c r="N99">
        <v>328</v>
      </c>
      <c r="O99">
        <v>32</v>
      </c>
      <c r="P99">
        <v>194</v>
      </c>
      <c r="Q99">
        <v>19</v>
      </c>
    </row>
    <row r="100" spans="1:17" x14ac:dyDescent="0.35">
      <c r="A100" t="s">
        <v>17</v>
      </c>
      <c r="B100" s="201">
        <v>53</v>
      </c>
      <c r="C100">
        <v>370</v>
      </c>
      <c r="D100">
        <v>837</v>
      </c>
      <c r="E100" s="130" t="s">
        <v>18</v>
      </c>
      <c r="F100">
        <v>47</v>
      </c>
      <c r="G100">
        <v>6</v>
      </c>
      <c r="H100">
        <v>113</v>
      </c>
      <c r="I100">
        <v>14</v>
      </c>
      <c r="J100">
        <v>127</v>
      </c>
      <c r="K100">
        <v>15</v>
      </c>
      <c r="L100">
        <v>201</v>
      </c>
      <c r="M100">
        <v>24</v>
      </c>
      <c r="N100">
        <v>231</v>
      </c>
      <c r="O100">
        <v>28</v>
      </c>
      <c r="P100">
        <v>118</v>
      </c>
      <c r="Q100">
        <v>14</v>
      </c>
    </row>
    <row r="101" spans="1:17" x14ac:dyDescent="0.35">
      <c r="A101" t="s">
        <v>17</v>
      </c>
      <c r="B101" s="201">
        <v>54</v>
      </c>
      <c r="C101">
        <v>246</v>
      </c>
      <c r="D101">
        <v>558</v>
      </c>
      <c r="E101" s="130" t="s">
        <v>18</v>
      </c>
      <c r="F101">
        <v>16</v>
      </c>
      <c r="G101">
        <v>3</v>
      </c>
      <c r="H101">
        <v>65</v>
      </c>
      <c r="I101">
        <v>12</v>
      </c>
      <c r="J101">
        <v>142</v>
      </c>
      <c r="K101">
        <v>25</v>
      </c>
      <c r="L101">
        <v>91</v>
      </c>
      <c r="M101">
        <v>16</v>
      </c>
      <c r="N101">
        <v>148</v>
      </c>
      <c r="O101">
        <v>27</v>
      </c>
      <c r="P101">
        <v>96</v>
      </c>
      <c r="Q101">
        <v>17</v>
      </c>
    </row>
    <row r="102" spans="1:17" x14ac:dyDescent="0.35">
      <c r="A102" t="s">
        <v>17</v>
      </c>
      <c r="B102" s="201">
        <v>55</v>
      </c>
      <c r="C102">
        <v>968</v>
      </c>
      <c r="D102">
        <v>2020</v>
      </c>
      <c r="E102" s="130" t="s">
        <v>34</v>
      </c>
      <c r="F102">
        <v>86</v>
      </c>
      <c r="G102">
        <v>4</v>
      </c>
      <c r="H102">
        <v>305</v>
      </c>
      <c r="I102">
        <v>15</v>
      </c>
      <c r="J102">
        <v>262</v>
      </c>
      <c r="K102">
        <v>13</v>
      </c>
      <c r="L102">
        <v>345</v>
      </c>
      <c r="M102">
        <v>17</v>
      </c>
      <c r="N102">
        <v>578</v>
      </c>
      <c r="O102">
        <v>29</v>
      </c>
      <c r="P102">
        <v>444</v>
      </c>
      <c r="Q102">
        <v>22</v>
      </c>
    </row>
    <row r="103" spans="1:17" x14ac:dyDescent="0.35">
      <c r="A103" t="s">
        <v>17</v>
      </c>
      <c r="B103" s="201">
        <v>56</v>
      </c>
      <c r="C103">
        <v>605</v>
      </c>
      <c r="D103">
        <v>1460</v>
      </c>
      <c r="E103" s="130" t="s">
        <v>28</v>
      </c>
      <c r="F103">
        <v>95</v>
      </c>
      <c r="G103">
        <v>7</v>
      </c>
      <c r="H103">
        <v>189</v>
      </c>
      <c r="I103">
        <v>13</v>
      </c>
      <c r="J103">
        <v>160</v>
      </c>
      <c r="K103">
        <v>11</v>
      </c>
      <c r="L103">
        <v>313</v>
      </c>
      <c r="M103">
        <v>21</v>
      </c>
      <c r="N103">
        <v>404</v>
      </c>
      <c r="O103">
        <v>28</v>
      </c>
      <c r="P103">
        <v>299</v>
      </c>
      <c r="Q103">
        <v>20</v>
      </c>
    </row>
    <row r="104" spans="1:17" x14ac:dyDescent="0.35">
      <c r="A104" t="s">
        <v>17</v>
      </c>
      <c r="B104" s="201">
        <v>57</v>
      </c>
      <c r="C104">
        <v>387</v>
      </c>
      <c r="D104">
        <v>857</v>
      </c>
      <c r="E104" s="130" t="s">
        <v>23</v>
      </c>
      <c r="F104">
        <v>49</v>
      </c>
      <c r="G104">
        <v>6</v>
      </c>
      <c r="H104">
        <v>134</v>
      </c>
      <c r="I104">
        <v>16</v>
      </c>
      <c r="J104">
        <v>116</v>
      </c>
      <c r="K104">
        <v>14</v>
      </c>
      <c r="L104">
        <v>248</v>
      </c>
      <c r="M104">
        <v>29</v>
      </c>
      <c r="N104">
        <v>207</v>
      </c>
      <c r="O104">
        <v>24</v>
      </c>
      <c r="P104">
        <v>103</v>
      </c>
      <c r="Q104">
        <v>12</v>
      </c>
    </row>
    <row r="105" spans="1:17" x14ac:dyDescent="0.35">
      <c r="A105" t="s">
        <v>17</v>
      </c>
      <c r="B105" s="201">
        <v>58</v>
      </c>
      <c r="C105">
        <v>164</v>
      </c>
      <c r="D105">
        <v>372</v>
      </c>
      <c r="E105" s="130" t="s">
        <v>18</v>
      </c>
      <c r="F105">
        <v>16</v>
      </c>
      <c r="G105">
        <v>4</v>
      </c>
      <c r="H105">
        <v>47</v>
      </c>
      <c r="I105">
        <v>13</v>
      </c>
      <c r="J105">
        <v>48</v>
      </c>
      <c r="K105">
        <v>13</v>
      </c>
      <c r="L105">
        <v>72</v>
      </c>
      <c r="M105">
        <v>19</v>
      </c>
      <c r="N105">
        <v>99</v>
      </c>
      <c r="O105">
        <v>27</v>
      </c>
      <c r="P105">
        <v>90</v>
      </c>
      <c r="Q105">
        <v>24</v>
      </c>
    </row>
    <row r="106" spans="1:17" x14ac:dyDescent="0.35">
      <c r="A106" t="s">
        <v>17</v>
      </c>
      <c r="B106" s="201">
        <v>59</v>
      </c>
      <c r="C106">
        <v>272</v>
      </c>
      <c r="D106">
        <v>624</v>
      </c>
      <c r="E106" s="130" t="s">
        <v>18</v>
      </c>
      <c r="F106">
        <v>23</v>
      </c>
      <c r="G106">
        <v>4</v>
      </c>
      <c r="H106">
        <v>59</v>
      </c>
      <c r="I106">
        <v>9</v>
      </c>
      <c r="J106">
        <v>77</v>
      </c>
      <c r="K106">
        <v>12</v>
      </c>
      <c r="L106">
        <v>131</v>
      </c>
      <c r="M106">
        <v>21</v>
      </c>
      <c r="N106">
        <v>178</v>
      </c>
      <c r="O106">
        <v>29</v>
      </c>
      <c r="P106">
        <v>156</v>
      </c>
      <c r="Q106">
        <v>25</v>
      </c>
    </row>
    <row r="107" spans="1:17" x14ac:dyDescent="0.35">
      <c r="A107" t="s">
        <v>17</v>
      </c>
      <c r="B107" s="201">
        <v>60</v>
      </c>
      <c r="C107">
        <v>351</v>
      </c>
      <c r="D107">
        <v>654</v>
      </c>
      <c r="E107" s="130" t="s">
        <v>22</v>
      </c>
      <c r="F107">
        <v>42</v>
      </c>
      <c r="G107">
        <v>6</v>
      </c>
      <c r="H107">
        <v>97</v>
      </c>
      <c r="I107">
        <v>15</v>
      </c>
      <c r="J107">
        <v>112</v>
      </c>
      <c r="K107">
        <v>17</v>
      </c>
      <c r="L107">
        <v>173</v>
      </c>
      <c r="M107">
        <v>26</v>
      </c>
      <c r="N107">
        <v>132</v>
      </c>
      <c r="O107">
        <v>20</v>
      </c>
      <c r="P107">
        <v>98</v>
      </c>
      <c r="Q107">
        <v>15</v>
      </c>
    </row>
    <row r="108" spans="1:17" x14ac:dyDescent="0.35">
      <c r="A108" t="s">
        <v>17</v>
      </c>
      <c r="B108" s="201">
        <v>61</v>
      </c>
      <c r="C108">
        <v>142</v>
      </c>
      <c r="D108">
        <v>305</v>
      </c>
      <c r="E108" s="130" t="s">
        <v>34</v>
      </c>
      <c r="F108">
        <v>18</v>
      </c>
      <c r="G108">
        <v>6</v>
      </c>
      <c r="H108">
        <v>52</v>
      </c>
      <c r="I108">
        <v>17</v>
      </c>
      <c r="J108">
        <v>28</v>
      </c>
      <c r="K108">
        <v>9</v>
      </c>
      <c r="L108">
        <v>60</v>
      </c>
      <c r="M108">
        <v>20</v>
      </c>
      <c r="N108">
        <v>77</v>
      </c>
      <c r="O108">
        <v>25</v>
      </c>
      <c r="P108">
        <v>70</v>
      </c>
      <c r="Q108">
        <v>23</v>
      </c>
    </row>
    <row r="109" spans="1:17" x14ac:dyDescent="0.35">
      <c r="A109" t="s">
        <v>17</v>
      </c>
      <c r="B109" s="201">
        <v>62</v>
      </c>
      <c r="C109">
        <v>255</v>
      </c>
      <c r="D109">
        <v>543</v>
      </c>
      <c r="E109" s="130" t="s">
        <v>34</v>
      </c>
      <c r="F109">
        <v>32</v>
      </c>
      <c r="G109">
        <v>6</v>
      </c>
      <c r="H109">
        <v>69</v>
      </c>
      <c r="I109">
        <v>13</v>
      </c>
      <c r="J109">
        <v>73</v>
      </c>
      <c r="K109">
        <v>13</v>
      </c>
      <c r="L109">
        <v>115</v>
      </c>
      <c r="M109">
        <v>21</v>
      </c>
      <c r="N109">
        <v>161</v>
      </c>
      <c r="O109">
        <v>30</v>
      </c>
      <c r="P109">
        <v>93</v>
      </c>
      <c r="Q109">
        <v>17</v>
      </c>
    </row>
    <row r="110" spans="1:17" x14ac:dyDescent="0.35">
      <c r="A110" s="203" t="s">
        <v>17</v>
      </c>
      <c r="B110" s="204">
        <v>63</v>
      </c>
      <c r="C110" s="203">
        <v>1625</v>
      </c>
      <c r="D110" s="203">
        <v>3721</v>
      </c>
      <c r="E110" s="207" t="s">
        <v>18</v>
      </c>
      <c r="F110" s="203">
        <v>227</v>
      </c>
      <c r="G110" s="203">
        <v>6</v>
      </c>
      <c r="H110" s="203">
        <v>547</v>
      </c>
      <c r="I110" s="203">
        <v>15</v>
      </c>
      <c r="J110" s="203">
        <v>410</v>
      </c>
      <c r="K110" s="203">
        <v>11</v>
      </c>
      <c r="L110" s="203">
        <v>753</v>
      </c>
      <c r="M110" s="203">
        <v>20</v>
      </c>
      <c r="N110" s="203">
        <v>1015</v>
      </c>
      <c r="O110" s="203">
        <v>27</v>
      </c>
      <c r="P110" s="203">
        <v>769</v>
      </c>
      <c r="Q110" s="203">
        <v>21</v>
      </c>
    </row>
    <row r="111" spans="1:17" x14ac:dyDescent="0.35">
      <c r="A111" t="s">
        <v>17</v>
      </c>
      <c r="B111" s="201">
        <v>64</v>
      </c>
      <c r="C111">
        <v>204</v>
      </c>
      <c r="D111">
        <v>331</v>
      </c>
      <c r="E111" s="130" t="s">
        <v>40</v>
      </c>
      <c r="F111">
        <v>13</v>
      </c>
      <c r="G111">
        <v>4</v>
      </c>
      <c r="H111">
        <v>56</v>
      </c>
      <c r="I111">
        <v>17</v>
      </c>
      <c r="J111">
        <v>51</v>
      </c>
      <c r="K111">
        <v>15</v>
      </c>
      <c r="L111">
        <v>98</v>
      </c>
      <c r="M111">
        <v>30</v>
      </c>
      <c r="N111">
        <v>86</v>
      </c>
      <c r="O111">
        <v>26</v>
      </c>
      <c r="P111">
        <v>27</v>
      </c>
      <c r="Q111">
        <v>8</v>
      </c>
    </row>
    <row r="112" spans="1:17" x14ac:dyDescent="0.35">
      <c r="A112" t="s">
        <v>17</v>
      </c>
      <c r="B112" s="201">
        <v>65</v>
      </c>
      <c r="C112">
        <v>380</v>
      </c>
      <c r="D112">
        <v>882</v>
      </c>
      <c r="E112" s="130" t="s">
        <v>18</v>
      </c>
      <c r="F112">
        <v>39</v>
      </c>
      <c r="G112">
        <v>4</v>
      </c>
      <c r="H112">
        <v>112</v>
      </c>
      <c r="I112">
        <v>13</v>
      </c>
      <c r="J112">
        <v>85</v>
      </c>
      <c r="K112">
        <v>10</v>
      </c>
      <c r="L112">
        <v>159</v>
      </c>
      <c r="M112">
        <v>18</v>
      </c>
      <c r="N112">
        <v>234</v>
      </c>
      <c r="O112">
        <v>27</v>
      </c>
      <c r="P112">
        <v>253</v>
      </c>
      <c r="Q112">
        <v>29</v>
      </c>
    </row>
    <row r="113" spans="1:17" x14ac:dyDescent="0.35">
      <c r="A113" t="s">
        <v>17</v>
      </c>
      <c r="B113" s="201">
        <v>66</v>
      </c>
      <c r="C113">
        <v>752</v>
      </c>
      <c r="D113">
        <v>1314</v>
      </c>
      <c r="E113" s="130" t="s">
        <v>36</v>
      </c>
      <c r="F113">
        <v>80</v>
      </c>
      <c r="G113">
        <v>6</v>
      </c>
      <c r="H113">
        <v>133</v>
      </c>
      <c r="I113">
        <v>10</v>
      </c>
      <c r="J113">
        <v>172</v>
      </c>
      <c r="K113">
        <v>13</v>
      </c>
      <c r="L113">
        <v>404</v>
      </c>
      <c r="M113">
        <v>31</v>
      </c>
      <c r="N113">
        <v>340</v>
      </c>
      <c r="O113">
        <v>26</v>
      </c>
      <c r="P113">
        <v>185</v>
      </c>
      <c r="Q113">
        <v>14</v>
      </c>
    </row>
    <row r="114" spans="1:17" x14ac:dyDescent="0.35">
      <c r="A114" s="203" t="s">
        <v>17</v>
      </c>
      <c r="B114" s="204">
        <v>67</v>
      </c>
      <c r="C114" s="203">
        <v>927</v>
      </c>
      <c r="D114" s="203">
        <v>2032</v>
      </c>
      <c r="E114" s="207" t="s">
        <v>23</v>
      </c>
      <c r="F114" s="203">
        <v>143</v>
      </c>
      <c r="G114" s="203">
        <v>7</v>
      </c>
      <c r="H114" s="203">
        <v>233</v>
      </c>
      <c r="I114" s="203">
        <v>11</v>
      </c>
      <c r="J114" s="203">
        <v>203</v>
      </c>
      <c r="K114" s="203">
        <v>10</v>
      </c>
      <c r="L114" s="203">
        <v>493</v>
      </c>
      <c r="M114" s="203">
        <v>24</v>
      </c>
      <c r="N114" s="203">
        <v>541</v>
      </c>
      <c r="O114" s="203">
        <v>27</v>
      </c>
      <c r="P114" s="203">
        <v>419</v>
      </c>
      <c r="Q114" s="203">
        <v>21</v>
      </c>
    </row>
    <row r="115" spans="1:17" x14ac:dyDescent="0.35">
      <c r="A115" s="203" t="s">
        <v>17</v>
      </c>
      <c r="B115" s="204">
        <v>68</v>
      </c>
      <c r="C115" s="203">
        <v>1067</v>
      </c>
      <c r="D115" s="203">
        <v>2431</v>
      </c>
      <c r="E115" s="207" t="s">
        <v>18</v>
      </c>
      <c r="F115" s="203">
        <v>169</v>
      </c>
      <c r="G115" s="203">
        <v>7</v>
      </c>
      <c r="H115" s="203">
        <v>328</v>
      </c>
      <c r="I115" s="203">
        <v>13</v>
      </c>
      <c r="J115" s="203">
        <v>308</v>
      </c>
      <c r="K115" s="203">
        <v>13</v>
      </c>
      <c r="L115" s="203">
        <v>609</v>
      </c>
      <c r="M115" s="203">
        <v>25</v>
      </c>
      <c r="N115" s="203">
        <v>615</v>
      </c>
      <c r="O115" s="203">
        <v>25</v>
      </c>
      <c r="P115" s="203">
        <v>402</v>
      </c>
      <c r="Q115" s="203">
        <v>17</v>
      </c>
    </row>
    <row r="116" spans="1:17" x14ac:dyDescent="0.35">
      <c r="A116" t="s">
        <v>31</v>
      </c>
      <c r="B116" s="201">
        <v>89</v>
      </c>
      <c r="C116">
        <v>469</v>
      </c>
      <c r="D116">
        <v>1113</v>
      </c>
      <c r="E116" s="130" t="s">
        <v>28</v>
      </c>
      <c r="F116">
        <v>73</v>
      </c>
      <c r="G116">
        <v>7</v>
      </c>
      <c r="H116">
        <v>171</v>
      </c>
      <c r="I116">
        <v>15</v>
      </c>
      <c r="J116">
        <v>144</v>
      </c>
      <c r="K116">
        <v>13</v>
      </c>
      <c r="L116">
        <v>224</v>
      </c>
      <c r="M116">
        <v>20</v>
      </c>
      <c r="N116">
        <v>300</v>
      </c>
      <c r="O116">
        <v>27</v>
      </c>
      <c r="P116">
        <v>201</v>
      </c>
      <c r="Q116">
        <v>18</v>
      </c>
    </row>
    <row r="117" spans="1:17" x14ac:dyDescent="0.35">
      <c r="A117" s="203" t="s">
        <v>30</v>
      </c>
      <c r="B117" s="204">
        <v>31</v>
      </c>
      <c r="C117" s="203">
        <v>1099</v>
      </c>
      <c r="D117" s="203">
        <v>2546</v>
      </c>
      <c r="E117" s="207" t="s">
        <v>18</v>
      </c>
      <c r="F117" s="203">
        <v>201</v>
      </c>
      <c r="G117" s="203">
        <v>8</v>
      </c>
      <c r="H117" s="203">
        <v>296</v>
      </c>
      <c r="I117" s="203">
        <v>12</v>
      </c>
      <c r="J117" s="203">
        <v>368</v>
      </c>
      <c r="K117" s="203">
        <v>14</v>
      </c>
      <c r="L117" s="203">
        <v>635</v>
      </c>
      <c r="M117" s="203">
        <v>25</v>
      </c>
      <c r="N117" s="203">
        <v>742</v>
      </c>
      <c r="O117" s="203">
        <v>29</v>
      </c>
      <c r="P117" s="203">
        <v>304</v>
      </c>
      <c r="Q117" s="203">
        <v>12</v>
      </c>
    </row>
    <row r="118" spans="1:17" x14ac:dyDescent="0.35">
      <c r="A118" t="s">
        <v>30</v>
      </c>
      <c r="B118" s="201">
        <v>32</v>
      </c>
      <c r="C118">
        <v>982</v>
      </c>
      <c r="D118">
        <v>2232</v>
      </c>
      <c r="E118" s="130" t="s">
        <v>18</v>
      </c>
      <c r="F118">
        <v>193</v>
      </c>
      <c r="G118">
        <v>9</v>
      </c>
      <c r="H118">
        <v>281</v>
      </c>
      <c r="I118">
        <v>13</v>
      </c>
      <c r="J118">
        <v>357</v>
      </c>
      <c r="K118">
        <v>16</v>
      </c>
      <c r="L118">
        <v>600</v>
      </c>
      <c r="M118">
        <v>27</v>
      </c>
      <c r="N118">
        <v>565</v>
      </c>
      <c r="O118">
        <v>25</v>
      </c>
      <c r="P118">
        <v>236</v>
      </c>
      <c r="Q118">
        <v>11</v>
      </c>
    </row>
    <row r="119" spans="1:17" x14ac:dyDescent="0.35">
      <c r="A119" t="s">
        <v>30</v>
      </c>
      <c r="B119" s="201">
        <v>33</v>
      </c>
      <c r="C119">
        <v>321</v>
      </c>
      <c r="D119">
        <v>811</v>
      </c>
      <c r="E119" s="130" t="s">
        <v>24</v>
      </c>
      <c r="F119">
        <v>73</v>
      </c>
      <c r="G119">
        <v>9</v>
      </c>
      <c r="H119">
        <v>179</v>
      </c>
      <c r="I119">
        <v>22</v>
      </c>
      <c r="J119">
        <v>96</v>
      </c>
      <c r="K119">
        <v>12</v>
      </c>
      <c r="L119">
        <v>276</v>
      </c>
      <c r="M119">
        <v>34</v>
      </c>
      <c r="N119">
        <v>160</v>
      </c>
      <c r="O119">
        <v>20</v>
      </c>
      <c r="P119">
        <v>27</v>
      </c>
      <c r="Q119">
        <v>3</v>
      </c>
    </row>
    <row r="120" spans="1:17" x14ac:dyDescent="0.35">
      <c r="A120" t="s">
        <v>30</v>
      </c>
      <c r="B120" s="201">
        <v>34</v>
      </c>
      <c r="C120">
        <v>490</v>
      </c>
      <c r="D120">
        <v>1083</v>
      </c>
      <c r="E120" s="130" t="s">
        <v>23</v>
      </c>
      <c r="F120">
        <v>74</v>
      </c>
      <c r="G120">
        <v>7</v>
      </c>
      <c r="H120">
        <v>114</v>
      </c>
      <c r="I120">
        <v>11</v>
      </c>
      <c r="J120">
        <v>135</v>
      </c>
      <c r="K120">
        <v>12</v>
      </c>
      <c r="L120">
        <v>260</v>
      </c>
      <c r="M120">
        <v>24</v>
      </c>
      <c r="N120">
        <v>288</v>
      </c>
      <c r="O120">
        <v>27</v>
      </c>
      <c r="P120">
        <v>212</v>
      </c>
      <c r="Q120">
        <v>20</v>
      </c>
    </row>
    <row r="121" spans="1:17" x14ac:dyDescent="0.35">
      <c r="A121" t="s">
        <v>30</v>
      </c>
      <c r="B121" s="201">
        <v>35</v>
      </c>
      <c r="C121">
        <v>278</v>
      </c>
      <c r="D121">
        <v>595</v>
      </c>
      <c r="E121" s="130" t="s">
        <v>34</v>
      </c>
      <c r="F121">
        <v>41</v>
      </c>
      <c r="G121">
        <v>7</v>
      </c>
      <c r="H121">
        <v>51</v>
      </c>
      <c r="I121">
        <v>9</v>
      </c>
      <c r="J121">
        <v>72</v>
      </c>
      <c r="K121">
        <v>12</v>
      </c>
      <c r="L121">
        <v>123</v>
      </c>
      <c r="M121">
        <v>21</v>
      </c>
      <c r="N121">
        <v>159</v>
      </c>
      <c r="O121">
        <v>27</v>
      </c>
      <c r="P121">
        <v>149</v>
      </c>
      <c r="Q121">
        <v>25</v>
      </c>
    </row>
    <row r="122" spans="1:17" x14ac:dyDescent="0.35">
      <c r="A122" t="s">
        <v>30</v>
      </c>
      <c r="B122" s="201">
        <v>43</v>
      </c>
      <c r="C122">
        <v>424</v>
      </c>
      <c r="D122">
        <v>967</v>
      </c>
      <c r="E122" s="130" t="s">
        <v>18</v>
      </c>
      <c r="F122">
        <v>75</v>
      </c>
      <c r="G122">
        <v>8</v>
      </c>
      <c r="H122">
        <v>131</v>
      </c>
      <c r="I122">
        <v>14</v>
      </c>
      <c r="J122">
        <v>135</v>
      </c>
      <c r="K122">
        <v>14</v>
      </c>
      <c r="L122">
        <v>270</v>
      </c>
      <c r="M122">
        <v>28</v>
      </c>
      <c r="N122">
        <v>223</v>
      </c>
      <c r="O122">
        <v>23</v>
      </c>
      <c r="P122">
        <v>133</v>
      </c>
      <c r="Q122">
        <v>14</v>
      </c>
    </row>
    <row r="123" spans="1:17" x14ac:dyDescent="0.35">
      <c r="A123" t="s">
        <v>30</v>
      </c>
      <c r="B123" s="201">
        <v>44</v>
      </c>
      <c r="C123">
        <v>649</v>
      </c>
      <c r="D123">
        <v>1462</v>
      </c>
      <c r="E123" s="130" t="s">
        <v>18</v>
      </c>
      <c r="F123">
        <v>103</v>
      </c>
      <c r="G123">
        <v>7</v>
      </c>
      <c r="H123">
        <v>241</v>
      </c>
      <c r="I123">
        <v>16</v>
      </c>
      <c r="J123">
        <v>184</v>
      </c>
      <c r="K123">
        <v>13</v>
      </c>
      <c r="L123">
        <v>392</v>
      </c>
      <c r="M123">
        <v>27</v>
      </c>
      <c r="N123">
        <v>362</v>
      </c>
      <c r="O123">
        <v>25</v>
      </c>
      <c r="P123">
        <v>180</v>
      </c>
      <c r="Q123">
        <v>12</v>
      </c>
    </row>
    <row r="124" spans="1:17" x14ac:dyDescent="0.35">
      <c r="A124" t="s">
        <v>30</v>
      </c>
      <c r="B124" s="201">
        <v>46</v>
      </c>
      <c r="C124">
        <v>554</v>
      </c>
      <c r="D124">
        <v>1178</v>
      </c>
      <c r="E124" s="130" t="s">
        <v>34</v>
      </c>
      <c r="F124">
        <v>84</v>
      </c>
      <c r="G124">
        <v>7</v>
      </c>
      <c r="H124">
        <v>175</v>
      </c>
      <c r="I124">
        <v>15</v>
      </c>
      <c r="J124">
        <v>195</v>
      </c>
      <c r="K124">
        <v>17</v>
      </c>
      <c r="L124">
        <v>339</v>
      </c>
      <c r="M124">
        <v>29</v>
      </c>
      <c r="N124">
        <v>288</v>
      </c>
      <c r="O124">
        <v>24</v>
      </c>
      <c r="P124">
        <v>97</v>
      </c>
      <c r="Q124">
        <v>8</v>
      </c>
    </row>
    <row r="125" spans="1:17" x14ac:dyDescent="0.35">
      <c r="C125"/>
      <c r="E125" s="130"/>
    </row>
    <row r="126" spans="1:17" x14ac:dyDescent="0.35">
      <c r="A126" s="200" t="s">
        <v>244</v>
      </c>
      <c r="C126"/>
      <c r="E126" s="130"/>
    </row>
    <row r="127" spans="1:17" x14ac:dyDescent="0.35">
      <c r="A127" s="310" t="s">
        <v>16</v>
      </c>
      <c r="B127" s="312" t="s">
        <v>228</v>
      </c>
      <c r="C127" s="313" t="s">
        <v>229</v>
      </c>
      <c r="D127" s="309" t="s">
        <v>230</v>
      </c>
      <c r="E127" s="309" t="s">
        <v>5</v>
      </c>
      <c r="F127" s="309" t="s">
        <v>231</v>
      </c>
      <c r="G127" s="309"/>
      <c r="H127" s="309" t="s">
        <v>232</v>
      </c>
      <c r="I127" s="309"/>
      <c r="J127" s="309" t="s">
        <v>233</v>
      </c>
      <c r="K127" s="309"/>
      <c r="L127" s="309" t="s">
        <v>234</v>
      </c>
      <c r="M127" s="309"/>
      <c r="N127" s="309" t="s">
        <v>235</v>
      </c>
      <c r="O127" s="309"/>
      <c r="P127" s="309" t="s">
        <v>236</v>
      </c>
      <c r="Q127" s="309"/>
    </row>
    <row r="128" spans="1:17" ht="14.5" customHeight="1" x14ac:dyDescent="0.35">
      <c r="A128" s="311"/>
      <c r="B128" s="312"/>
      <c r="C128" s="313"/>
      <c r="D128" s="309"/>
      <c r="E128" s="309"/>
      <c r="F128" s="202" t="s">
        <v>237</v>
      </c>
      <c r="G128" s="202" t="s">
        <v>238</v>
      </c>
      <c r="H128" s="202" t="s">
        <v>237</v>
      </c>
      <c r="I128" s="202" t="s">
        <v>238</v>
      </c>
      <c r="J128" s="202" t="s">
        <v>237</v>
      </c>
      <c r="K128" s="202" t="s">
        <v>238</v>
      </c>
      <c r="L128" s="202" t="s">
        <v>237</v>
      </c>
      <c r="M128" s="202" t="s">
        <v>238</v>
      </c>
      <c r="N128" s="202" t="s">
        <v>237</v>
      </c>
      <c r="O128" s="202" t="s">
        <v>238</v>
      </c>
      <c r="P128" s="202" t="s">
        <v>237</v>
      </c>
      <c r="Q128" s="202" t="s">
        <v>238</v>
      </c>
    </row>
    <row r="129" spans="1:17" x14ac:dyDescent="0.35">
      <c r="A129" t="s">
        <v>27</v>
      </c>
      <c r="B129" s="201">
        <v>1</v>
      </c>
      <c r="C129">
        <v>953</v>
      </c>
      <c r="D129">
        <v>2113</v>
      </c>
      <c r="E129" s="129" t="s">
        <v>23</v>
      </c>
      <c r="F129">
        <v>150</v>
      </c>
      <c r="G129">
        <v>7</v>
      </c>
      <c r="H129">
        <v>298</v>
      </c>
      <c r="I129">
        <v>14</v>
      </c>
      <c r="J129">
        <v>305</v>
      </c>
      <c r="K129">
        <v>14</v>
      </c>
      <c r="L129">
        <v>654</v>
      </c>
      <c r="M129">
        <v>31</v>
      </c>
      <c r="N129">
        <v>490</v>
      </c>
      <c r="O129">
        <v>23</v>
      </c>
      <c r="P129">
        <v>213</v>
      </c>
      <c r="Q129">
        <v>10</v>
      </c>
    </row>
    <row r="130" spans="1:17" x14ac:dyDescent="0.35">
      <c r="A130" s="203" t="s">
        <v>27</v>
      </c>
      <c r="B130" s="204">
        <v>2</v>
      </c>
      <c r="C130" s="203">
        <v>1615</v>
      </c>
      <c r="D130" s="203">
        <v>4014</v>
      </c>
      <c r="E130" s="205" t="s">
        <v>24</v>
      </c>
      <c r="F130" s="203">
        <v>249</v>
      </c>
      <c r="G130" s="203">
        <v>6</v>
      </c>
      <c r="H130" s="203">
        <v>681</v>
      </c>
      <c r="I130" s="203">
        <v>17</v>
      </c>
      <c r="J130" s="203">
        <v>483</v>
      </c>
      <c r="K130" s="203">
        <v>12</v>
      </c>
      <c r="L130" s="203">
        <v>903</v>
      </c>
      <c r="M130" s="203">
        <v>22</v>
      </c>
      <c r="N130" s="203">
        <v>1003</v>
      </c>
      <c r="O130" s="203">
        <v>25</v>
      </c>
      <c r="P130" s="203">
        <v>689</v>
      </c>
      <c r="Q130" s="203">
        <v>17</v>
      </c>
    </row>
    <row r="131" spans="1:17" x14ac:dyDescent="0.35">
      <c r="A131" t="s">
        <v>27</v>
      </c>
      <c r="B131" s="201">
        <v>3</v>
      </c>
      <c r="C131">
        <v>1240</v>
      </c>
      <c r="D131">
        <v>2716</v>
      </c>
      <c r="E131" s="129" t="s">
        <v>23</v>
      </c>
      <c r="F131">
        <v>147</v>
      </c>
      <c r="G131">
        <v>5</v>
      </c>
      <c r="H131">
        <v>333</v>
      </c>
      <c r="I131">
        <v>12</v>
      </c>
      <c r="J131">
        <v>365</v>
      </c>
      <c r="K131">
        <v>13</v>
      </c>
      <c r="L131">
        <v>510</v>
      </c>
      <c r="M131">
        <v>19</v>
      </c>
      <c r="N131">
        <v>759</v>
      </c>
      <c r="O131">
        <v>28</v>
      </c>
      <c r="P131">
        <v>597</v>
      </c>
      <c r="Q131">
        <v>22</v>
      </c>
    </row>
    <row r="132" spans="1:17" x14ac:dyDescent="0.35">
      <c r="A132" t="s">
        <v>27</v>
      </c>
      <c r="B132" s="201">
        <v>4</v>
      </c>
      <c r="C132">
        <v>784</v>
      </c>
      <c r="D132">
        <v>1924</v>
      </c>
      <c r="E132" s="129" t="s">
        <v>24</v>
      </c>
      <c r="F132">
        <v>152</v>
      </c>
      <c r="G132">
        <v>8</v>
      </c>
      <c r="H132">
        <v>304</v>
      </c>
      <c r="I132">
        <v>16</v>
      </c>
      <c r="J132">
        <v>228</v>
      </c>
      <c r="K132">
        <v>12</v>
      </c>
      <c r="L132">
        <v>509</v>
      </c>
      <c r="M132">
        <v>26</v>
      </c>
      <c r="N132">
        <v>502</v>
      </c>
      <c r="O132">
        <v>26</v>
      </c>
      <c r="P132">
        <v>225</v>
      </c>
      <c r="Q132">
        <v>12</v>
      </c>
    </row>
    <row r="133" spans="1:17" x14ac:dyDescent="0.35">
      <c r="A133" t="s">
        <v>27</v>
      </c>
      <c r="B133" s="201">
        <v>5</v>
      </c>
      <c r="C133">
        <v>1084</v>
      </c>
      <c r="D133">
        <v>2617</v>
      </c>
      <c r="E133" s="129" t="s">
        <v>28</v>
      </c>
      <c r="F133">
        <v>160</v>
      </c>
      <c r="G133">
        <v>6</v>
      </c>
      <c r="H133">
        <v>386</v>
      </c>
      <c r="I133">
        <v>15</v>
      </c>
      <c r="J133">
        <v>316</v>
      </c>
      <c r="K133">
        <v>12</v>
      </c>
      <c r="L133">
        <v>559</v>
      </c>
      <c r="M133">
        <v>21</v>
      </c>
      <c r="N133">
        <v>699</v>
      </c>
      <c r="O133">
        <v>27</v>
      </c>
      <c r="P133">
        <v>490</v>
      </c>
      <c r="Q133">
        <v>19</v>
      </c>
    </row>
    <row r="134" spans="1:17" x14ac:dyDescent="0.35">
      <c r="A134" t="s">
        <v>27</v>
      </c>
      <c r="B134" s="201">
        <v>6</v>
      </c>
      <c r="C134">
        <v>1641</v>
      </c>
      <c r="D134">
        <v>3722</v>
      </c>
      <c r="E134" s="129" t="s">
        <v>18</v>
      </c>
      <c r="F134">
        <v>266</v>
      </c>
      <c r="G134">
        <v>7</v>
      </c>
      <c r="H134">
        <v>562</v>
      </c>
      <c r="I134">
        <v>15</v>
      </c>
      <c r="J134">
        <v>500</v>
      </c>
      <c r="K134">
        <v>13</v>
      </c>
      <c r="L134">
        <v>954</v>
      </c>
      <c r="M134">
        <v>26</v>
      </c>
      <c r="N134">
        <v>978</v>
      </c>
      <c r="O134">
        <v>26</v>
      </c>
      <c r="P134">
        <v>454</v>
      </c>
      <c r="Q134">
        <v>12</v>
      </c>
    </row>
    <row r="135" spans="1:17" x14ac:dyDescent="0.35">
      <c r="A135" t="s">
        <v>27</v>
      </c>
      <c r="B135" s="201">
        <v>7</v>
      </c>
      <c r="C135">
        <v>1188</v>
      </c>
      <c r="D135">
        <v>2782</v>
      </c>
      <c r="E135" s="129" t="s">
        <v>18</v>
      </c>
      <c r="F135">
        <v>254</v>
      </c>
      <c r="G135">
        <v>9</v>
      </c>
      <c r="H135">
        <v>495</v>
      </c>
      <c r="I135">
        <v>18</v>
      </c>
      <c r="J135">
        <v>391</v>
      </c>
      <c r="K135">
        <v>14</v>
      </c>
      <c r="L135">
        <v>836</v>
      </c>
      <c r="M135">
        <v>30</v>
      </c>
      <c r="N135">
        <v>624</v>
      </c>
      <c r="O135">
        <v>22</v>
      </c>
      <c r="P135">
        <v>176</v>
      </c>
      <c r="Q135">
        <v>6</v>
      </c>
    </row>
    <row r="136" spans="1:17" x14ac:dyDescent="0.35">
      <c r="A136" t="s">
        <v>27</v>
      </c>
      <c r="B136" s="201">
        <v>8</v>
      </c>
      <c r="C136">
        <v>1531</v>
      </c>
      <c r="D136">
        <v>3817</v>
      </c>
      <c r="E136" s="129" t="s">
        <v>24</v>
      </c>
      <c r="F136">
        <v>282</v>
      </c>
      <c r="G136">
        <v>7</v>
      </c>
      <c r="H136">
        <v>665</v>
      </c>
      <c r="I136">
        <v>17</v>
      </c>
      <c r="J136">
        <v>573</v>
      </c>
      <c r="K136">
        <v>15</v>
      </c>
      <c r="L136">
        <v>1032</v>
      </c>
      <c r="M136">
        <v>27</v>
      </c>
      <c r="N136">
        <v>995</v>
      </c>
      <c r="O136">
        <v>26</v>
      </c>
      <c r="P136">
        <v>260</v>
      </c>
      <c r="Q136">
        <v>7</v>
      </c>
    </row>
    <row r="137" spans="1:17" x14ac:dyDescent="0.35">
      <c r="A137" t="s">
        <v>27</v>
      </c>
      <c r="B137" s="201">
        <v>9</v>
      </c>
      <c r="C137">
        <v>437</v>
      </c>
      <c r="D137">
        <v>917</v>
      </c>
      <c r="E137" s="129" t="s">
        <v>34</v>
      </c>
      <c r="F137">
        <v>42</v>
      </c>
      <c r="G137">
        <v>5</v>
      </c>
      <c r="H137">
        <v>152</v>
      </c>
      <c r="I137">
        <v>17</v>
      </c>
      <c r="J137">
        <v>95</v>
      </c>
      <c r="K137">
        <v>10</v>
      </c>
      <c r="L137">
        <v>187</v>
      </c>
      <c r="M137">
        <v>20</v>
      </c>
      <c r="N137">
        <v>253</v>
      </c>
      <c r="O137">
        <v>28</v>
      </c>
      <c r="P137">
        <v>187</v>
      </c>
      <c r="Q137">
        <v>20</v>
      </c>
    </row>
    <row r="138" spans="1:17" x14ac:dyDescent="0.35">
      <c r="A138" t="s">
        <v>17</v>
      </c>
      <c r="B138" s="201">
        <v>18</v>
      </c>
      <c r="C138">
        <v>74</v>
      </c>
      <c r="D138">
        <v>99</v>
      </c>
      <c r="E138" s="129" t="s">
        <v>37</v>
      </c>
      <c r="F138">
        <v>3</v>
      </c>
      <c r="G138">
        <v>3</v>
      </c>
      <c r="H138">
        <v>6</v>
      </c>
      <c r="I138">
        <v>6</v>
      </c>
      <c r="J138">
        <v>18</v>
      </c>
      <c r="K138">
        <v>18</v>
      </c>
      <c r="L138">
        <v>42</v>
      </c>
      <c r="M138">
        <v>42</v>
      </c>
      <c r="N138">
        <v>25</v>
      </c>
      <c r="O138">
        <v>25</v>
      </c>
      <c r="P138">
        <v>5</v>
      </c>
      <c r="Q138">
        <v>5</v>
      </c>
    </row>
    <row r="139" spans="1:17" x14ac:dyDescent="0.35">
      <c r="A139" t="s">
        <v>17</v>
      </c>
      <c r="B139" s="201">
        <v>19</v>
      </c>
      <c r="C139">
        <v>327</v>
      </c>
      <c r="D139">
        <v>456</v>
      </c>
      <c r="E139" s="129" t="s">
        <v>41</v>
      </c>
      <c r="F139">
        <v>21</v>
      </c>
      <c r="G139">
        <v>5</v>
      </c>
      <c r="H139">
        <v>25</v>
      </c>
      <c r="I139">
        <v>5</v>
      </c>
      <c r="J139">
        <v>95</v>
      </c>
      <c r="K139">
        <v>21</v>
      </c>
      <c r="L139">
        <v>159</v>
      </c>
      <c r="M139">
        <v>35</v>
      </c>
      <c r="N139">
        <v>84</v>
      </c>
      <c r="O139">
        <v>18</v>
      </c>
      <c r="P139">
        <v>72</v>
      </c>
      <c r="Q139">
        <v>16</v>
      </c>
    </row>
    <row r="140" spans="1:17" x14ac:dyDescent="0.35">
      <c r="A140" t="s">
        <v>17</v>
      </c>
      <c r="B140" s="201">
        <v>20</v>
      </c>
      <c r="C140">
        <v>703</v>
      </c>
      <c r="D140">
        <v>1349</v>
      </c>
      <c r="E140" s="129" t="s">
        <v>22</v>
      </c>
      <c r="F140">
        <v>46</v>
      </c>
      <c r="G140">
        <v>3</v>
      </c>
      <c r="H140">
        <v>116</v>
      </c>
      <c r="I140">
        <v>9</v>
      </c>
      <c r="J140">
        <v>228</v>
      </c>
      <c r="K140">
        <v>17</v>
      </c>
      <c r="L140">
        <v>276</v>
      </c>
      <c r="M140">
        <v>20</v>
      </c>
      <c r="N140">
        <v>322</v>
      </c>
      <c r="O140">
        <v>24</v>
      </c>
      <c r="P140">
        <v>361</v>
      </c>
      <c r="Q140">
        <v>27</v>
      </c>
    </row>
    <row r="141" spans="1:17" x14ac:dyDescent="0.35">
      <c r="A141" t="s">
        <v>17</v>
      </c>
      <c r="B141" s="201">
        <v>21</v>
      </c>
      <c r="C141">
        <v>327</v>
      </c>
      <c r="D141">
        <v>583</v>
      </c>
      <c r="E141" s="129" t="s">
        <v>39</v>
      </c>
      <c r="F141">
        <v>15</v>
      </c>
      <c r="G141">
        <v>3</v>
      </c>
      <c r="H141">
        <v>61</v>
      </c>
      <c r="I141">
        <v>10</v>
      </c>
      <c r="J141">
        <v>121</v>
      </c>
      <c r="K141">
        <v>21</v>
      </c>
      <c r="L141">
        <v>148</v>
      </c>
      <c r="M141">
        <v>25</v>
      </c>
      <c r="N141">
        <v>156</v>
      </c>
      <c r="O141">
        <v>27</v>
      </c>
      <c r="P141">
        <v>82</v>
      </c>
      <c r="Q141">
        <v>14</v>
      </c>
    </row>
    <row r="142" spans="1:17" x14ac:dyDescent="0.35">
      <c r="A142" s="203" t="s">
        <v>17</v>
      </c>
      <c r="B142" s="204">
        <v>22</v>
      </c>
      <c r="C142" s="203">
        <v>880</v>
      </c>
      <c r="D142" s="203">
        <v>1426</v>
      </c>
      <c r="E142" s="205" t="s">
        <v>40</v>
      </c>
      <c r="F142" s="203">
        <v>64</v>
      </c>
      <c r="G142" s="203">
        <v>4</v>
      </c>
      <c r="H142" s="203">
        <v>157</v>
      </c>
      <c r="I142" s="203">
        <v>11</v>
      </c>
      <c r="J142" s="203">
        <v>246</v>
      </c>
      <c r="K142" s="203">
        <v>17</v>
      </c>
      <c r="L142" s="203">
        <v>342</v>
      </c>
      <c r="M142" s="203">
        <v>24</v>
      </c>
      <c r="N142" s="203">
        <v>381</v>
      </c>
      <c r="O142" s="203">
        <v>27</v>
      </c>
      <c r="P142" s="203">
        <v>236</v>
      </c>
      <c r="Q142" s="203">
        <v>17</v>
      </c>
    </row>
    <row r="143" spans="1:17" x14ac:dyDescent="0.35">
      <c r="A143" t="s">
        <v>17</v>
      </c>
      <c r="B143" s="201">
        <v>23</v>
      </c>
      <c r="C143">
        <v>1093</v>
      </c>
      <c r="D143">
        <v>2130</v>
      </c>
      <c r="E143" s="129" t="s">
        <v>22</v>
      </c>
      <c r="F143">
        <v>68</v>
      </c>
      <c r="G143">
        <v>3</v>
      </c>
      <c r="H143">
        <v>195</v>
      </c>
      <c r="I143">
        <v>9</v>
      </c>
      <c r="J143">
        <v>414</v>
      </c>
      <c r="K143">
        <v>19</v>
      </c>
      <c r="L143">
        <v>395</v>
      </c>
      <c r="M143">
        <v>19</v>
      </c>
      <c r="N143">
        <v>615</v>
      </c>
      <c r="O143">
        <v>29</v>
      </c>
      <c r="P143">
        <v>443</v>
      </c>
      <c r="Q143">
        <v>21</v>
      </c>
    </row>
    <row r="144" spans="1:17" x14ac:dyDescent="0.35">
      <c r="A144" t="s">
        <v>17</v>
      </c>
      <c r="B144" s="201">
        <v>52</v>
      </c>
      <c r="C144">
        <v>560</v>
      </c>
      <c r="D144">
        <v>1335</v>
      </c>
      <c r="E144" s="129" t="s">
        <v>28</v>
      </c>
      <c r="F144">
        <v>65</v>
      </c>
      <c r="G144">
        <v>5</v>
      </c>
      <c r="H144">
        <v>207</v>
      </c>
      <c r="I144">
        <v>16</v>
      </c>
      <c r="J144">
        <v>169</v>
      </c>
      <c r="K144">
        <v>13</v>
      </c>
      <c r="L144">
        <v>284</v>
      </c>
      <c r="M144">
        <v>21</v>
      </c>
      <c r="N144">
        <v>406</v>
      </c>
      <c r="O144">
        <v>30</v>
      </c>
      <c r="P144">
        <v>204</v>
      </c>
      <c r="Q144">
        <v>15</v>
      </c>
    </row>
    <row r="145" spans="1:17" x14ac:dyDescent="0.35">
      <c r="A145" t="s">
        <v>17</v>
      </c>
      <c r="B145" s="201">
        <v>53</v>
      </c>
      <c r="C145">
        <v>340</v>
      </c>
      <c r="D145">
        <v>692</v>
      </c>
      <c r="E145" s="129" t="s">
        <v>19</v>
      </c>
      <c r="F145">
        <v>37</v>
      </c>
      <c r="G145">
        <v>5</v>
      </c>
      <c r="H145">
        <v>65</v>
      </c>
      <c r="I145">
        <v>9</v>
      </c>
      <c r="J145">
        <v>97</v>
      </c>
      <c r="K145">
        <v>14</v>
      </c>
      <c r="L145">
        <v>140</v>
      </c>
      <c r="M145">
        <v>20</v>
      </c>
      <c r="N145">
        <v>187</v>
      </c>
      <c r="O145">
        <v>27</v>
      </c>
      <c r="P145">
        <v>166</v>
      </c>
      <c r="Q145">
        <v>24</v>
      </c>
    </row>
    <row r="146" spans="1:17" x14ac:dyDescent="0.35">
      <c r="A146" s="203" t="s">
        <v>17</v>
      </c>
      <c r="B146" s="204">
        <v>54</v>
      </c>
      <c r="C146" s="203">
        <v>1859</v>
      </c>
      <c r="D146" s="203">
        <v>2994</v>
      </c>
      <c r="E146" s="205" t="s">
        <v>40</v>
      </c>
      <c r="F146" s="203">
        <v>142</v>
      </c>
      <c r="G146" s="203">
        <v>5</v>
      </c>
      <c r="H146" s="203">
        <v>282</v>
      </c>
      <c r="I146" s="203">
        <v>9</v>
      </c>
      <c r="J146" s="203">
        <v>634</v>
      </c>
      <c r="K146" s="203">
        <v>21</v>
      </c>
      <c r="L146" s="203">
        <v>823</v>
      </c>
      <c r="M146" s="203">
        <v>27</v>
      </c>
      <c r="N146" s="203">
        <v>684</v>
      </c>
      <c r="O146" s="203">
        <v>23</v>
      </c>
      <c r="P146" s="203">
        <v>429</v>
      </c>
      <c r="Q146" s="203">
        <v>14</v>
      </c>
    </row>
    <row r="147" spans="1:17" x14ac:dyDescent="0.35">
      <c r="A147" t="s">
        <v>17</v>
      </c>
      <c r="B147" s="201">
        <v>55</v>
      </c>
      <c r="C147">
        <v>2142</v>
      </c>
      <c r="D147">
        <v>3740</v>
      </c>
      <c r="E147" s="129" t="s">
        <v>36</v>
      </c>
      <c r="F147">
        <v>193</v>
      </c>
      <c r="G147">
        <v>5</v>
      </c>
      <c r="H147">
        <v>387</v>
      </c>
      <c r="I147">
        <v>10</v>
      </c>
      <c r="J147">
        <v>610</v>
      </c>
      <c r="K147">
        <v>16</v>
      </c>
      <c r="L147">
        <v>902</v>
      </c>
      <c r="M147">
        <v>24</v>
      </c>
      <c r="N147">
        <v>867</v>
      </c>
      <c r="O147">
        <v>23</v>
      </c>
      <c r="P147">
        <v>781</v>
      </c>
      <c r="Q147">
        <v>21</v>
      </c>
    </row>
    <row r="148" spans="1:17" x14ac:dyDescent="0.35">
      <c r="A148" t="s">
        <v>17</v>
      </c>
      <c r="B148" s="201">
        <v>56</v>
      </c>
      <c r="C148">
        <v>669</v>
      </c>
      <c r="D148">
        <v>1595</v>
      </c>
      <c r="E148" s="129" t="s">
        <v>28</v>
      </c>
      <c r="F148">
        <v>87</v>
      </c>
      <c r="G148">
        <v>5</v>
      </c>
      <c r="H148">
        <v>229</v>
      </c>
      <c r="I148">
        <v>14</v>
      </c>
      <c r="J148">
        <v>194</v>
      </c>
      <c r="K148">
        <v>12</v>
      </c>
      <c r="L148">
        <v>330</v>
      </c>
      <c r="M148">
        <v>21</v>
      </c>
      <c r="N148">
        <v>434</v>
      </c>
      <c r="O148">
        <v>27</v>
      </c>
      <c r="P148">
        <v>321</v>
      </c>
      <c r="Q148">
        <v>20</v>
      </c>
    </row>
    <row r="149" spans="1:17" x14ac:dyDescent="0.35">
      <c r="A149" t="s">
        <v>17</v>
      </c>
      <c r="B149" s="201">
        <v>57</v>
      </c>
      <c r="C149">
        <v>696</v>
      </c>
      <c r="D149">
        <v>1627</v>
      </c>
      <c r="E149" s="129" t="s">
        <v>18</v>
      </c>
      <c r="F149">
        <v>85</v>
      </c>
      <c r="G149">
        <v>5</v>
      </c>
      <c r="H149">
        <v>255</v>
      </c>
      <c r="I149">
        <v>16</v>
      </c>
      <c r="J149">
        <v>186</v>
      </c>
      <c r="K149">
        <v>11</v>
      </c>
      <c r="L149">
        <v>427</v>
      </c>
      <c r="M149">
        <v>26</v>
      </c>
      <c r="N149">
        <v>398</v>
      </c>
      <c r="O149">
        <v>24</v>
      </c>
      <c r="P149">
        <v>276</v>
      </c>
      <c r="Q149">
        <v>17</v>
      </c>
    </row>
    <row r="150" spans="1:17" x14ac:dyDescent="0.35">
      <c r="A150" t="s">
        <v>17</v>
      </c>
      <c r="B150" s="201">
        <v>58</v>
      </c>
      <c r="C150">
        <v>434</v>
      </c>
      <c r="D150">
        <v>1123</v>
      </c>
      <c r="E150" s="129" t="s">
        <v>21</v>
      </c>
      <c r="F150">
        <v>77</v>
      </c>
      <c r="G150">
        <v>7</v>
      </c>
      <c r="H150">
        <v>183</v>
      </c>
      <c r="I150">
        <v>16</v>
      </c>
      <c r="J150">
        <v>146</v>
      </c>
      <c r="K150">
        <v>13</v>
      </c>
      <c r="L150">
        <v>260</v>
      </c>
      <c r="M150">
        <v>23</v>
      </c>
      <c r="N150">
        <v>288</v>
      </c>
      <c r="O150">
        <v>26</v>
      </c>
      <c r="P150">
        <v>169</v>
      </c>
      <c r="Q150">
        <v>15</v>
      </c>
    </row>
    <row r="151" spans="1:17" x14ac:dyDescent="0.35">
      <c r="A151" t="s">
        <v>17</v>
      </c>
      <c r="B151" s="201">
        <v>59</v>
      </c>
      <c r="C151">
        <v>337</v>
      </c>
      <c r="D151">
        <v>763</v>
      </c>
      <c r="E151" s="129" t="s">
        <v>18</v>
      </c>
      <c r="F151">
        <v>39</v>
      </c>
      <c r="G151">
        <v>5</v>
      </c>
      <c r="H151">
        <v>104</v>
      </c>
      <c r="I151">
        <v>14</v>
      </c>
      <c r="J151">
        <v>142</v>
      </c>
      <c r="K151">
        <v>19</v>
      </c>
      <c r="L151">
        <v>199</v>
      </c>
      <c r="M151">
        <v>26</v>
      </c>
      <c r="N151">
        <v>186</v>
      </c>
      <c r="O151">
        <v>24</v>
      </c>
      <c r="P151">
        <v>93</v>
      </c>
      <c r="Q151">
        <v>12</v>
      </c>
    </row>
    <row r="152" spans="1:17" x14ac:dyDescent="0.35">
      <c r="A152" t="s">
        <v>17</v>
      </c>
      <c r="B152" s="201">
        <v>60</v>
      </c>
      <c r="C152">
        <v>2229</v>
      </c>
      <c r="D152">
        <v>3521</v>
      </c>
      <c r="E152" s="129" t="s">
        <v>40</v>
      </c>
      <c r="F152">
        <v>171</v>
      </c>
      <c r="G152">
        <v>5</v>
      </c>
      <c r="H152">
        <v>267</v>
      </c>
      <c r="I152">
        <v>8</v>
      </c>
      <c r="J152">
        <v>719</v>
      </c>
      <c r="K152">
        <v>20</v>
      </c>
      <c r="L152">
        <v>1052</v>
      </c>
      <c r="M152">
        <v>30</v>
      </c>
      <c r="N152">
        <v>804</v>
      </c>
      <c r="O152">
        <v>23</v>
      </c>
      <c r="P152">
        <v>508</v>
      </c>
      <c r="Q152">
        <v>14</v>
      </c>
    </row>
    <row r="153" spans="1:17" x14ac:dyDescent="0.35">
      <c r="A153" t="s">
        <v>17</v>
      </c>
      <c r="B153" s="201">
        <v>61</v>
      </c>
      <c r="C153">
        <v>956</v>
      </c>
      <c r="D153">
        <v>1691</v>
      </c>
      <c r="E153" s="129" t="s">
        <v>39</v>
      </c>
      <c r="F153">
        <v>95</v>
      </c>
      <c r="G153">
        <v>6</v>
      </c>
      <c r="H153">
        <v>180</v>
      </c>
      <c r="I153">
        <v>11</v>
      </c>
      <c r="J153">
        <v>263</v>
      </c>
      <c r="K153">
        <v>16</v>
      </c>
      <c r="L153">
        <v>486</v>
      </c>
      <c r="M153">
        <v>29</v>
      </c>
      <c r="N153">
        <v>392</v>
      </c>
      <c r="O153">
        <v>23</v>
      </c>
      <c r="P153">
        <v>275</v>
      </c>
      <c r="Q153">
        <v>16</v>
      </c>
    </row>
    <row r="154" spans="1:17" x14ac:dyDescent="0.35">
      <c r="A154" t="s">
        <v>17</v>
      </c>
      <c r="B154" s="201">
        <v>62</v>
      </c>
      <c r="C154">
        <v>632</v>
      </c>
      <c r="D154">
        <v>1415</v>
      </c>
      <c r="E154" s="129" t="s">
        <v>23</v>
      </c>
      <c r="F154">
        <v>106</v>
      </c>
      <c r="G154">
        <v>7</v>
      </c>
      <c r="H154">
        <v>180</v>
      </c>
      <c r="I154">
        <v>13</v>
      </c>
      <c r="J154">
        <v>184</v>
      </c>
      <c r="K154">
        <v>13</v>
      </c>
      <c r="L154">
        <v>406</v>
      </c>
      <c r="M154">
        <v>29</v>
      </c>
      <c r="N154">
        <v>346</v>
      </c>
      <c r="O154">
        <v>24</v>
      </c>
      <c r="P154">
        <v>193</v>
      </c>
      <c r="Q154">
        <v>14</v>
      </c>
    </row>
    <row r="155" spans="1:17" x14ac:dyDescent="0.35">
      <c r="A155" t="s">
        <v>17</v>
      </c>
      <c r="B155" s="201">
        <v>63</v>
      </c>
      <c r="C155">
        <v>785</v>
      </c>
      <c r="D155">
        <v>1776</v>
      </c>
      <c r="E155" s="129" t="s">
        <v>18</v>
      </c>
      <c r="F155">
        <v>120</v>
      </c>
      <c r="G155">
        <v>7</v>
      </c>
      <c r="H155">
        <v>242</v>
      </c>
      <c r="I155">
        <v>14</v>
      </c>
      <c r="J155">
        <v>171</v>
      </c>
      <c r="K155">
        <v>10</v>
      </c>
      <c r="L155">
        <v>405</v>
      </c>
      <c r="M155">
        <v>23</v>
      </c>
      <c r="N155">
        <v>459</v>
      </c>
      <c r="O155">
        <v>26</v>
      </c>
      <c r="P155">
        <v>379</v>
      </c>
      <c r="Q155">
        <v>21</v>
      </c>
    </row>
    <row r="156" spans="1:17" x14ac:dyDescent="0.35">
      <c r="A156" t="s">
        <v>17</v>
      </c>
      <c r="B156" s="201">
        <v>64</v>
      </c>
      <c r="C156">
        <v>405</v>
      </c>
      <c r="D156">
        <v>596</v>
      </c>
      <c r="E156" s="129" t="s">
        <v>33</v>
      </c>
      <c r="F156">
        <v>22</v>
      </c>
      <c r="G156">
        <v>4</v>
      </c>
      <c r="H156">
        <v>31</v>
      </c>
      <c r="I156">
        <v>5</v>
      </c>
      <c r="J156">
        <v>87</v>
      </c>
      <c r="K156">
        <v>15</v>
      </c>
      <c r="L156">
        <v>179</v>
      </c>
      <c r="M156">
        <v>30</v>
      </c>
      <c r="N156">
        <v>148</v>
      </c>
      <c r="O156">
        <v>25</v>
      </c>
      <c r="P156">
        <v>129</v>
      </c>
      <c r="Q156">
        <v>22</v>
      </c>
    </row>
    <row r="157" spans="1:17" x14ac:dyDescent="0.35">
      <c r="A157" t="s">
        <v>17</v>
      </c>
      <c r="B157" s="201">
        <v>65</v>
      </c>
      <c r="C157">
        <v>959</v>
      </c>
      <c r="D157">
        <v>1705</v>
      </c>
      <c r="E157" s="129" t="s">
        <v>39</v>
      </c>
      <c r="F157">
        <v>121</v>
      </c>
      <c r="G157">
        <v>7</v>
      </c>
      <c r="H157">
        <v>162</v>
      </c>
      <c r="I157">
        <v>10</v>
      </c>
      <c r="J157">
        <v>237</v>
      </c>
      <c r="K157">
        <v>14</v>
      </c>
      <c r="L157">
        <v>499</v>
      </c>
      <c r="M157">
        <v>29</v>
      </c>
      <c r="N157">
        <v>310</v>
      </c>
      <c r="O157">
        <v>18</v>
      </c>
      <c r="P157">
        <v>376</v>
      </c>
      <c r="Q157">
        <v>22</v>
      </c>
    </row>
    <row r="158" spans="1:17" x14ac:dyDescent="0.35">
      <c r="A158" t="s">
        <v>17</v>
      </c>
      <c r="B158" s="201">
        <v>66</v>
      </c>
      <c r="C158">
        <v>1072</v>
      </c>
      <c r="D158">
        <v>1981</v>
      </c>
      <c r="E158" s="129" t="s">
        <v>39</v>
      </c>
      <c r="F158">
        <v>122</v>
      </c>
      <c r="G158">
        <v>6</v>
      </c>
      <c r="H158">
        <v>237</v>
      </c>
      <c r="I158">
        <v>12</v>
      </c>
      <c r="J158">
        <v>279</v>
      </c>
      <c r="K158">
        <v>14</v>
      </c>
      <c r="L158">
        <v>582</v>
      </c>
      <c r="M158">
        <v>29</v>
      </c>
      <c r="N158">
        <v>435</v>
      </c>
      <c r="O158">
        <v>22</v>
      </c>
      <c r="P158">
        <v>326</v>
      </c>
      <c r="Q158">
        <v>16</v>
      </c>
    </row>
    <row r="159" spans="1:17" x14ac:dyDescent="0.35">
      <c r="A159" t="s">
        <v>17</v>
      </c>
      <c r="B159" s="201">
        <v>67</v>
      </c>
      <c r="C159">
        <v>1131</v>
      </c>
      <c r="D159">
        <v>2035</v>
      </c>
      <c r="E159" s="129" t="s">
        <v>39</v>
      </c>
      <c r="F159">
        <v>131</v>
      </c>
      <c r="G159">
        <v>6</v>
      </c>
      <c r="H159">
        <v>197</v>
      </c>
      <c r="I159">
        <v>10</v>
      </c>
      <c r="J159">
        <v>355</v>
      </c>
      <c r="K159">
        <v>17</v>
      </c>
      <c r="L159">
        <v>535</v>
      </c>
      <c r="M159">
        <v>26</v>
      </c>
      <c r="N159">
        <v>511</v>
      </c>
      <c r="O159">
        <v>25</v>
      </c>
      <c r="P159">
        <v>306</v>
      </c>
      <c r="Q159">
        <v>15</v>
      </c>
    </row>
    <row r="160" spans="1:17" x14ac:dyDescent="0.35">
      <c r="A160" t="s">
        <v>17</v>
      </c>
      <c r="B160" s="201">
        <v>68</v>
      </c>
      <c r="C160">
        <v>1182</v>
      </c>
      <c r="D160">
        <v>2553</v>
      </c>
      <c r="E160" s="129" t="s">
        <v>23</v>
      </c>
      <c r="F160">
        <v>171</v>
      </c>
      <c r="G160">
        <v>7</v>
      </c>
      <c r="H160">
        <v>372</v>
      </c>
      <c r="I160">
        <v>15</v>
      </c>
      <c r="J160">
        <v>409</v>
      </c>
      <c r="K160">
        <v>16</v>
      </c>
      <c r="L160">
        <v>633</v>
      </c>
      <c r="M160">
        <v>25</v>
      </c>
      <c r="N160">
        <v>664</v>
      </c>
      <c r="O160">
        <v>26</v>
      </c>
      <c r="P160">
        <v>304</v>
      </c>
      <c r="Q160">
        <v>12</v>
      </c>
    </row>
    <row r="161" spans="1:17" x14ac:dyDescent="0.35">
      <c r="A161" s="203" t="s">
        <v>31</v>
      </c>
      <c r="B161" s="204">
        <v>89</v>
      </c>
      <c r="C161" s="203">
        <v>811</v>
      </c>
      <c r="D161" s="203">
        <v>1731</v>
      </c>
      <c r="E161" s="205" t="s">
        <v>34</v>
      </c>
      <c r="F161" s="203">
        <v>107</v>
      </c>
      <c r="G161" s="203">
        <v>6</v>
      </c>
      <c r="H161" s="203">
        <v>239</v>
      </c>
      <c r="I161" s="203">
        <v>14</v>
      </c>
      <c r="J161" s="203">
        <v>205</v>
      </c>
      <c r="K161" s="203">
        <v>12</v>
      </c>
      <c r="L161" s="203">
        <v>365</v>
      </c>
      <c r="M161" s="203">
        <v>21</v>
      </c>
      <c r="N161" s="203">
        <v>485</v>
      </c>
      <c r="O161" s="203">
        <v>28</v>
      </c>
      <c r="P161" s="203">
        <v>327</v>
      </c>
      <c r="Q161" s="203">
        <v>19</v>
      </c>
    </row>
    <row r="162" spans="1:17" x14ac:dyDescent="0.35">
      <c r="A162" t="s">
        <v>30</v>
      </c>
      <c r="B162" s="201">
        <v>31</v>
      </c>
      <c r="C162">
        <v>824</v>
      </c>
      <c r="D162">
        <v>1842</v>
      </c>
      <c r="E162" s="129" t="s">
        <v>23</v>
      </c>
      <c r="F162">
        <v>120</v>
      </c>
      <c r="G162">
        <v>7</v>
      </c>
      <c r="H162">
        <v>230</v>
      </c>
      <c r="I162">
        <v>12</v>
      </c>
      <c r="J162">
        <v>294</v>
      </c>
      <c r="K162">
        <v>16</v>
      </c>
      <c r="L162">
        <v>455</v>
      </c>
      <c r="M162">
        <v>25</v>
      </c>
      <c r="N162">
        <v>490</v>
      </c>
      <c r="O162">
        <v>27</v>
      </c>
      <c r="P162">
        <v>253</v>
      </c>
      <c r="Q162">
        <v>14</v>
      </c>
    </row>
    <row r="163" spans="1:17" x14ac:dyDescent="0.35">
      <c r="A163" t="s">
        <v>30</v>
      </c>
      <c r="B163" s="201">
        <v>32</v>
      </c>
      <c r="C163">
        <v>895</v>
      </c>
      <c r="D163">
        <v>1669</v>
      </c>
      <c r="E163" s="129" t="s">
        <v>22</v>
      </c>
      <c r="F163">
        <v>109</v>
      </c>
      <c r="G163">
        <v>7</v>
      </c>
      <c r="H163">
        <v>232</v>
      </c>
      <c r="I163">
        <v>14</v>
      </c>
      <c r="J163">
        <v>271</v>
      </c>
      <c r="K163">
        <v>16</v>
      </c>
      <c r="L163">
        <v>449</v>
      </c>
      <c r="M163">
        <v>27</v>
      </c>
      <c r="N163">
        <v>402</v>
      </c>
      <c r="O163">
        <v>24</v>
      </c>
      <c r="P163">
        <v>206</v>
      </c>
      <c r="Q163">
        <v>12</v>
      </c>
    </row>
    <row r="164" spans="1:17" x14ac:dyDescent="0.35">
      <c r="A164" t="s">
        <v>30</v>
      </c>
      <c r="B164" s="201">
        <v>33</v>
      </c>
      <c r="C164">
        <v>643</v>
      </c>
      <c r="D164">
        <v>1443</v>
      </c>
      <c r="E164" s="129" t="s">
        <v>23</v>
      </c>
      <c r="F164">
        <v>130</v>
      </c>
      <c r="G164">
        <v>9</v>
      </c>
      <c r="H164">
        <v>250</v>
      </c>
      <c r="I164">
        <v>17</v>
      </c>
      <c r="J164">
        <v>199</v>
      </c>
      <c r="K164">
        <v>14</v>
      </c>
      <c r="L164">
        <v>450</v>
      </c>
      <c r="M164">
        <v>31</v>
      </c>
      <c r="N164">
        <v>312</v>
      </c>
      <c r="O164">
        <v>22</v>
      </c>
      <c r="P164">
        <v>102</v>
      </c>
      <c r="Q164">
        <v>7</v>
      </c>
    </row>
    <row r="165" spans="1:17" x14ac:dyDescent="0.35">
      <c r="A165" t="s">
        <v>30</v>
      </c>
      <c r="B165" s="201">
        <v>34</v>
      </c>
      <c r="C165">
        <v>741</v>
      </c>
      <c r="D165">
        <v>1641</v>
      </c>
      <c r="E165" s="129" t="s">
        <v>23</v>
      </c>
      <c r="F165">
        <v>114</v>
      </c>
      <c r="G165">
        <v>7</v>
      </c>
      <c r="H165">
        <v>178</v>
      </c>
      <c r="I165">
        <v>11</v>
      </c>
      <c r="J165">
        <v>208</v>
      </c>
      <c r="K165">
        <v>13</v>
      </c>
      <c r="L165">
        <v>374</v>
      </c>
      <c r="M165">
        <v>23</v>
      </c>
      <c r="N165">
        <v>440</v>
      </c>
      <c r="O165">
        <v>27</v>
      </c>
      <c r="P165">
        <v>327</v>
      </c>
      <c r="Q165">
        <v>20</v>
      </c>
    </row>
    <row r="166" spans="1:17" x14ac:dyDescent="0.35">
      <c r="A166" t="s">
        <v>30</v>
      </c>
      <c r="B166" s="201">
        <v>35</v>
      </c>
      <c r="C166">
        <v>537</v>
      </c>
      <c r="D166">
        <v>1039</v>
      </c>
      <c r="E166" s="129" t="s">
        <v>22</v>
      </c>
      <c r="F166">
        <v>58</v>
      </c>
      <c r="G166">
        <v>6</v>
      </c>
      <c r="H166">
        <v>128</v>
      </c>
      <c r="I166">
        <v>12</v>
      </c>
      <c r="J166">
        <v>164</v>
      </c>
      <c r="K166">
        <v>16</v>
      </c>
      <c r="L166">
        <v>241</v>
      </c>
      <c r="M166">
        <v>23</v>
      </c>
      <c r="N166">
        <v>263</v>
      </c>
      <c r="O166">
        <v>25</v>
      </c>
      <c r="P166">
        <v>185</v>
      </c>
      <c r="Q166">
        <v>18</v>
      </c>
    </row>
    <row r="167" spans="1:17" x14ac:dyDescent="0.35">
      <c r="A167" s="203" t="s">
        <v>30</v>
      </c>
      <c r="B167" s="204">
        <v>43</v>
      </c>
      <c r="C167" s="203">
        <v>1218</v>
      </c>
      <c r="D167" s="203">
        <v>2645</v>
      </c>
      <c r="E167" s="205" t="s">
        <v>23</v>
      </c>
      <c r="F167" s="203">
        <v>208</v>
      </c>
      <c r="G167" s="203">
        <v>8</v>
      </c>
      <c r="H167" s="203">
        <v>371</v>
      </c>
      <c r="I167" s="203">
        <v>14</v>
      </c>
      <c r="J167" s="203">
        <v>462</v>
      </c>
      <c r="K167" s="203">
        <v>17</v>
      </c>
      <c r="L167" s="203">
        <v>708</v>
      </c>
      <c r="M167" s="203">
        <v>27</v>
      </c>
      <c r="N167" s="203">
        <v>595</v>
      </c>
      <c r="O167" s="203">
        <v>22</v>
      </c>
      <c r="P167" s="203">
        <v>301</v>
      </c>
      <c r="Q167" s="203">
        <v>11</v>
      </c>
    </row>
    <row r="168" spans="1:17" x14ac:dyDescent="0.35">
      <c r="A168" s="203" t="s">
        <v>30</v>
      </c>
      <c r="B168" s="204">
        <v>44</v>
      </c>
      <c r="C168" s="203">
        <v>1472</v>
      </c>
      <c r="D168" s="203">
        <v>3523</v>
      </c>
      <c r="E168" s="205" t="s">
        <v>28</v>
      </c>
      <c r="F168" s="203">
        <v>238</v>
      </c>
      <c r="G168" s="203">
        <v>7</v>
      </c>
      <c r="H168" s="203">
        <v>604</v>
      </c>
      <c r="I168" s="203">
        <v>17</v>
      </c>
      <c r="J168" s="203">
        <v>604</v>
      </c>
      <c r="K168" s="203">
        <v>17</v>
      </c>
      <c r="L168" s="203">
        <v>988</v>
      </c>
      <c r="M168" s="203">
        <v>28</v>
      </c>
      <c r="N168" s="203">
        <v>864</v>
      </c>
      <c r="O168" s="203">
        <v>25</v>
      </c>
      <c r="P168" s="203">
        <v>225</v>
      </c>
      <c r="Q168" s="203">
        <v>6</v>
      </c>
    </row>
    <row r="169" spans="1:17" x14ac:dyDescent="0.35">
      <c r="A169" t="s">
        <v>30</v>
      </c>
      <c r="B169" s="201">
        <v>46</v>
      </c>
      <c r="C169">
        <v>683</v>
      </c>
      <c r="D169">
        <v>1421</v>
      </c>
      <c r="E169" s="129" t="s">
        <v>34</v>
      </c>
      <c r="F169">
        <v>109</v>
      </c>
      <c r="G169">
        <v>8</v>
      </c>
      <c r="H169">
        <v>187</v>
      </c>
      <c r="I169">
        <v>13</v>
      </c>
      <c r="J169">
        <v>256</v>
      </c>
      <c r="K169">
        <v>18</v>
      </c>
      <c r="L169">
        <v>348</v>
      </c>
      <c r="M169">
        <v>24</v>
      </c>
      <c r="N169">
        <v>367</v>
      </c>
      <c r="O169">
        <v>26</v>
      </c>
      <c r="P169">
        <v>154</v>
      </c>
      <c r="Q169">
        <v>11</v>
      </c>
    </row>
    <row r="170" spans="1:17" x14ac:dyDescent="0.35">
      <c r="C170"/>
      <c r="E170" s="129"/>
    </row>
    <row r="171" spans="1:17" x14ac:dyDescent="0.35">
      <c r="A171" s="200" t="s">
        <v>245</v>
      </c>
      <c r="C171"/>
      <c r="E171" s="129"/>
    </row>
    <row r="172" spans="1:17" x14ac:dyDescent="0.35">
      <c r="A172" s="310" t="s">
        <v>16</v>
      </c>
      <c r="B172" s="312" t="s">
        <v>228</v>
      </c>
      <c r="C172" s="313" t="s">
        <v>229</v>
      </c>
      <c r="D172" s="309" t="s">
        <v>230</v>
      </c>
      <c r="E172" s="309" t="s">
        <v>5</v>
      </c>
      <c r="F172" s="309" t="s">
        <v>231</v>
      </c>
      <c r="G172" s="309"/>
      <c r="H172" s="309" t="s">
        <v>232</v>
      </c>
      <c r="I172" s="309"/>
      <c r="J172" s="309" t="s">
        <v>233</v>
      </c>
      <c r="K172" s="309"/>
      <c r="L172" s="309" t="s">
        <v>234</v>
      </c>
      <c r="M172" s="309"/>
      <c r="N172" s="309" t="s">
        <v>235</v>
      </c>
      <c r="O172" s="309"/>
      <c r="P172" s="309" t="s">
        <v>236</v>
      </c>
      <c r="Q172" s="309"/>
    </row>
    <row r="173" spans="1:17" ht="14.5" customHeight="1" x14ac:dyDescent="0.35">
      <c r="A173" s="311"/>
      <c r="B173" s="312"/>
      <c r="C173" s="313"/>
      <c r="D173" s="309"/>
      <c r="E173" s="309"/>
      <c r="F173" s="202" t="s">
        <v>237</v>
      </c>
      <c r="G173" s="202" t="s">
        <v>238</v>
      </c>
      <c r="H173" s="202" t="s">
        <v>237</v>
      </c>
      <c r="I173" s="202" t="s">
        <v>238</v>
      </c>
      <c r="J173" s="202" t="s">
        <v>237</v>
      </c>
      <c r="K173" s="202" t="s">
        <v>238</v>
      </c>
      <c r="L173" s="202" t="s">
        <v>237</v>
      </c>
      <c r="M173" s="202" t="s">
        <v>238</v>
      </c>
      <c r="N173" s="202" t="s">
        <v>237</v>
      </c>
      <c r="O173" s="202" t="s">
        <v>238</v>
      </c>
      <c r="P173" s="202" t="s">
        <v>237</v>
      </c>
      <c r="Q173" s="202" t="s">
        <v>238</v>
      </c>
    </row>
    <row r="174" spans="1:17" x14ac:dyDescent="0.35">
      <c r="A174" t="s">
        <v>27</v>
      </c>
      <c r="B174" s="201">
        <v>1</v>
      </c>
      <c r="C174">
        <v>14891</v>
      </c>
      <c r="D174">
        <v>25235</v>
      </c>
      <c r="E174" s="129" t="s">
        <v>36</v>
      </c>
      <c r="F174">
        <v>1587</v>
      </c>
      <c r="G174">
        <v>6</v>
      </c>
      <c r="H174">
        <v>2381</v>
      </c>
      <c r="I174">
        <v>9</v>
      </c>
      <c r="J174">
        <v>6341</v>
      </c>
      <c r="K174">
        <v>25</v>
      </c>
      <c r="L174">
        <v>7246</v>
      </c>
      <c r="M174">
        <v>29</v>
      </c>
      <c r="N174">
        <v>4559</v>
      </c>
      <c r="O174">
        <v>18</v>
      </c>
      <c r="P174">
        <v>3079</v>
      </c>
      <c r="Q174">
        <v>12</v>
      </c>
    </row>
    <row r="175" spans="1:17" x14ac:dyDescent="0.35">
      <c r="A175" t="s">
        <v>27</v>
      </c>
      <c r="B175" s="201">
        <v>2</v>
      </c>
      <c r="C175">
        <v>8526</v>
      </c>
      <c r="D175">
        <v>14900</v>
      </c>
      <c r="E175" s="129" t="s">
        <v>36</v>
      </c>
      <c r="F175">
        <v>885</v>
      </c>
      <c r="G175">
        <v>6</v>
      </c>
      <c r="H175">
        <v>1659</v>
      </c>
      <c r="I175">
        <v>11</v>
      </c>
      <c r="J175">
        <v>3677</v>
      </c>
      <c r="K175">
        <v>25</v>
      </c>
      <c r="L175">
        <v>3870</v>
      </c>
      <c r="M175">
        <v>26</v>
      </c>
      <c r="N175">
        <v>2747</v>
      </c>
      <c r="O175">
        <v>18</v>
      </c>
      <c r="P175">
        <v>2030</v>
      </c>
      <c r="Q175">
        <v>14</v>
      </c>
    </row>
    <row r="176" spans="1:17" x14ac:dyDescent="0.35">
      <c r="A176" s="203" t="s">
        <v>27</v>
      </c>
      <c r="B176" s="204">
        <v>3</v>
      </c>
      <c r="C176" s="203">
        <v>12617</v>
      </c>
      <c r="D176" s="203">
        <v>21100</v>
      </c>
      <c r="E176" s="205" t="s">
        <v>36</v>
      </c>
      <c r="F176" s="203">
        <v>1025</v>
      </c>
      <c r="G176" s="203">
        <v>5</v>
      </c>
      <c r="H176" s="203">
        <v>1920</v>
      </c>
      <c r="I176" s="203">
        <v>9</v>
      </c>
      <c r="J176" s="203">
        <v>4472</v>
      </c>
      <c r="K176" s="203">
        <v>21</v>
      </c>
      <c r="L176" s="203">
        <v>5174</v>
      </c>
      <c r="M176" s="203">
        <v>25</v>
      </c>
      <c r="N176" s="203">
        <v>4518</v>
      </c>
      <c r="O176" s="203">
        <v>21</v>
      </c>
      <c r="P176" s="203">
        <v>3961</v>
      </c>
      <c r="Q176" s="203">
        <v>19</v>
      </c>
    </row>
    <row r="177" spans="1:17" x14ac:dyDescent="0.35">
      <c r="A177" s="203" t="s">
        <v>27</v>
      </c>
      <c r="B177" s="204">
        <v>4</v>
      </c>
      <c r="C177" s="203">
        <v>7259</v>
      </c>
      <c r="D177" s="203">
        <v>13106</v>
      </c>
      <c r="E177" s="205" t="s">
        <v>39</v>
      </c>
      <c r="F177" s="203">
        <v>718</v>
      </c>
      <c r="G177" s="203">
        <v>5</v>
      </c>
      <c r="H177" s="203">
        <v>1529</v>
      </c>
      <c r="I177" s="203">
        <v>12</v>
      </c>
      <c r="J177" s="203">
        <v>2404</v>
      </c>
      <c r="K177" s="203">
        <v>18</v>
      </c>
      <c r="L177" s="203">
        <v>3245</v>
      </c>
      <c r="M177" s="203">
        <v>25</v>
      </c>
      <c r="N177" s="203">
        <v>2976</v>
      </c>
      <c r="O177" s="203">
        <v>23</v>
      </c>
      <c r="P177" s="203">
        <v>2212</v>
      </c>
      <c r="Q177" s="203">
        <v>17</v>
      </c>
    </row>
    <row r="178" spans="1:17" x14ac:dyDescent="0.35">
      <c r="A178" t="s">
        <v>27</v>
      </c>
      <c r="B178" s="201">
        <v>5</v>
      </c>
      <c r="C178">
        <v>11208</v>
      </c>
      <c r="D178">
        <v>19302</v>
      </c>
      <c r="E178" s="129" t="s">
        <v>36</v>
      </c>
      <c r="F178">
        <v>971</v>
      </c>
      <c r="G178">
        <v>5</v>
      </c>
      <c r="H178">
        <v>1921</v>
      </c>
      <c r="I178">
        <v>10</v>
      </c>
      <c r="J178">
        <v>2996</v>
      </c>
      <c r="K178">
        <v>16</v>
      </c>
      <c r="L178">
        <v>4188</v>
      </c>
      <c r="M178">
        <v>22</v>
      </c>
      <c r="N178">
        <v>4483</v>
      </c>
      <c r="O178">
        <v>23</v>
      </c>
      <c r="P178">
        <v>4712</v>
      </c>
      <c r="Q178">
        <v>24</v>
      </c>
    </row>
    <row r="179" spans="1:17" x14ac:dyDescent="0.35">
      <c r="A179" t="s">
        <v>27</v>
      </c>
      <c r="B179" s="201">
        <v>6</v>
      </c>
      <c r="C179">
        <v>11330</v>
      </c>
      <c r="D179">
        <v>20848</v>
      </c>
      <c r="E179" s="129" t="s">
        <v>39</v>
      </c>
      <c r="F179">
        <v>1277</v>
      </c>
      <c r="G179">
        <v>6</v>
      </c>
      <c r="H179">
        <v>2642</v>
      </c>
      <c r="I179">
        <v>13</v>
      </c>
      <c r="J179">
        <v>4176</v>
      </c>
      <c r="K179">
        <v>20</v>
      </c>
      <c r="L179">
        <v>5127</v>
      </c>
      <c r="M179">
        <v>25</v>
      </c>
      <c r="N179">
        <v>4692</v>
      </c>
      <c r="O179">
        <v>23</v>
      </c>
      <c r="P179">
        <v>2899</v>
      </c>
      <c r="Q179">
        <v>14</v>
      </c>
    </row>
    <row r="180" spans="1:17" x14ac:dyDescent="0.35">
      <c r="A180" t="s">
        <v>27</v>
      </c>
      <c r="B180" s="201">
        <v>7</v>
      </c>
      <c r="C180">
        <v>5016</v>
      </c>
      <c r="D180">
        <v>9403</v>
      </c>
      <c r="E180" s="129" t="s">
        <v>22</v>
      </c>
      <c r="F180">
        <v>698</v>
      </c>
      <c r="G180">
        <v>7</v>
      </c>
      <c r="H180">
        <v>1449</v>
      </c>
      <c r="I180">
        <v>15</v>
      </c>
      <c r="J180">
        <v>1915</v>
      </c>
      <c r="K180">
        <v>20</v>
      </c>
      <c r="L180">
        <v>2437</v>
      </c>
      <c r="M180">
        <v>26</v>
      </c>
      <c r="N180">
        <v>2117</v>
      </c>
      <c r="O180">
        <v>23</v>
      </c>
      <c r="P180">
        <v>775</v>
      </c>
      <c r="Q180">
        <v>8</v>
      </c>
    </row>
    <row r="181" spans="1:17" x14ac:dyDescent="0.35">
      <c r="A181" t="s">
        <v>27</v>
      </c>
      <c r="B181" s="201">
        <v>8</v>
      </c>
      <c r="C181">
        <v>14742</v>
      </c>
      <c r="D181">
        <v>27416</v>
      </c>
      <c r="E181" s="129" t="s">
        <v>22</v>
      </c>
      <c r="F181">
        <v>2004</v>
      </c>
      <c r="G181">
        <v>7</v>
      </c>
      <c r="H181">
        <v>3444</v>
      </c>
      <c r="I181">
        <v>13</v>
      </c>
      <c r="J181">
        <v>5772</v>
      </c>
      <c r="K181">
        <v>21</v>
      </c>
      <c r="L181">
        <v>7188</v>
      </c>
      <c r="M181">
        <v>26</v>
      </c>
      <c r="N181">
        <v>5690</v>
      </c>
      <c r="O181">
        <v>21</v>
      </c>
      <c r="P181">
        <v>3256</v>
      </c>
      <c r="Q181">
        <v>12</v>
      </c>
    </row>
    <row r="182" spans="1:17" x14ac:dyDescent="0.35">
      <c r="A182" t="s">
        <v>27</v>
      </c>
      <c r="B182" s="201">
        <v>9</v>
      </c>
      <c r="C182">
        <v>10718</v>
      </c>
      <c r="D182">
        <v>17273</v>
      </c>
      <c r="E182" s="129" t="s">
        <v>40</v>
      </c>
      <c r="F182">
        <v>737</v>
      </c>
      <c r="G182">
        <v>4</v>
      </c>
      <c r="H182">
        <v>1045</v>
      </c>
      <c r="I182">
        <v>6</v>
      </c>
      <c r="J182">
        <v>5913</v>
      </c>
      <c r="K182">
        <v>34</v>
      </c>
      <c r="L182">
        <v>4097</v>
      </c>
      <c r="M182">
        <v>24</v>
      </c>
      <c r="N182">
        <v>2599</v>
      </c>
      <c r="O182">
        <v>15</v>
      </c>
      <c r="P182">
        <v>2853</v>
      </c>
      <c r="Q182">
        <v>17</v>
      </c>
    </row>
    <row r="183" spans="1:17" x14ac:dyDescent="0.35">
      <c r="A183" t="s">
        <v>17</v>
      </c>
      <c r="B183" s="201">
        <v>18</v>
      </c>
      <c r="C183">
        <v>13812</v>
      </c>
      <c r="D183">
        <v>17469</v>
      </c>
      <c r="E183" s="129" t="s">
        <v>37</v>
      </c>
      <c r="F183">
        <v>387</v>
      </c>
      <c r="G183">
        <v>2</v>
      </c>
      <c r="H183">
        <v>436</v>
      </c>
      <c r="I183">
        <v>2</v>
      </c>
      <c r="J183">
        <v>5063</v>
      </c>
      <c r="K183">
        <v>29</v>
      </c>
      <c r="L183">
        <v>6006</v>
      </c>
      <c r="M183">
        <v>34</v>
      </c>
      <c r="N183">
        <v>3239</v>
      </c>
      <c r="O183">
        <v>19</v>
      </c>
      <c r="P183">
        <v>2338</v>
      </c>
      <c r="Q183">
        <v>13</v>
      </c>
    </row>
    <row r="184" spans="1:17" x14ac:dyDescent="0.35">
      <c r="A184" t="s">
        <v>17</v>
      </c>
      <c r="B184" s="201">
        <v>19</v>
      </c>
      <c r="C184">
        <v>19355</v>
      </c>
      <c r="D184">
        <v>27146</v>
      </c>
      <c r="E184" s="129" t="s">
        <v>41</v>
      </c>
      <c r="F184">
        <v>1017</v>
      </c>
      <c r="G184">
        <v>4</v>
      </c>
      <c r="H184">
        <v>1171</v>
      </c>
      <c r="I184">
        <v>4</v>
      </c>
      <c r="J184">
        <v>7401</v>
      </c>
      <c r="K184">
        <v>27</v>
      </c>
      <c r="L184">
        <v>9163</v>
      </c>
      <c r="M184">
        <v>34</v>
      </c>
      <c r="N184">
        <v>4824</v>
      </c>
      <c r="O184">
        <v>18</v>
      </c>
      <c r="P184">
        <v>3570</v>
      </c>
      <c r="Q184">
        <v>13</v>
      </c>
    </row>
    <row r="185" spans="1:17" x14ac:dyDescent="0.35">
      <c r="A185" t="s">
        <v>17</v>
      </c>
      <c r="B185" s="201">
        <v>20</v>
      </c>
      <c r="C185">
        <v>14127</v>
      </c>
      <c r="D185">
        <v>21391</v>
      </c>
      <c r="E185" s="129" t="s">
        <v>33</v>
      </c>
      <c r="F185">
        <v>798</v>
      </c>
      <c r="G185">
        <v>4</v>
      </c>
      <c r="H185">
        <v>1474</v>
      </c>
      <c r="I185">
        <v>7</v>
      </c>
      <c r="J185">
        <v>4846</v>
      </c>
      <c r="K185">
        <v>23</v>
      </c>
      <c r="L185">
        <v>5341</v>
      </c>
      <c r="M185">
        <v>25</v>
      </c>
      <c r="N185">
        <v>4751</v>
      </c>
      <c r="O185">
        <v>22</v>
      </c>
      <c r="P185">
        <v>4181</v>
      </c>
      <c r="Q185">
        <v>20</v>
      </c>
    </row>
    <row r="186" spans="1:17" x14ac:dyDescent="0.35">
      <c r="A186" t="s">
        <v>17</v>
      </c>
      <c r="B186" s="201">
        <v>21</v>
      </c>
      <c r="C186">
        <v>18642</v>
      </c>
      <c r="D186">
        <v>29526</v>
      </c>
      <c r="E186" s="129" t="s">
        <v>40</v>
      </c>
      <c r="F186">
        <v>1464</v>
      </c>
      <c r="G186">
        <v>5</v>
      </c>
      <c r="H186">
        <v>2119</v>
      </c>
      <c r="I186">
        <v>7</v>
      </c>
      <c r="J186">
        <v>8023</v>
      </c>
      <c r="K186">
        <v>27</v>
      </c>
      <c r="L186">
        <v>8404</v>
      </c>
      <c r="M186">
        <v>28</v>
      </c>
      <c r="N186">
        <v>5868</v>
      </c>
      <c r="O186">
        <v>20</v>
      </c>
      <c r="P186">
        <v>3648</v>
      </c>
      <c r="Q186">
        <v>12</v>
      </c>
    </row>
    <row r="187" spans="1:17" x14ac:dyDescent="0.35">
      <c r="A187" t="s">
        <v>17</v>
      </c>
      <c r="B187" s="201">
        <v>22</v>
      </c>
      <c r="C187">
        <v>12011</v>
      </c>
      <c r="D187">
        <v>17137</v>
      </c>
      <c r="E187" s="129" t="s">
        <v>41</v>
      </c>
      <c r="F187">
        <v>599</v>
      </c>
      <c r="G187">
        <v>3</v>
      </c>
      <c r="H187">
        <v>1151</v>
      </c>
      <c r="I187">
        <v>7</v>
      </c>
      <c r="J187">
        <v>4345</v>
      </c>
      <c r="K187">
        <v>25</v>
      </c>
      <c r="L187">
        <v>4580</v>
      </c>
      <c r="M187">
        <v>27</v>
      </c>
      <c r="N187">
        <v>3700</v>
      </c>
      <c r="O187">
        <v>22</v>
      </c>
      <c r="P187">
        <v>2762</v>
      </c>
      <c r="Q187">
        <v>16</v>
      </c>
    </row>
    <row r="188" spans="1:17" x14ac:dyDescent="0.35">
      <c r="A188" t="s">
        <v>17</v>
      </c>
      <c r="B188" s="201">
        <v>23</v>
      </c>
      <c r="C188">
        <v>10604</v>
      </c>
      <c r="D188">
        <v>16239</v>
      </c>
      <c r="E188" s="129" t="s">
        <v>33</v>
      </c>
      <c r="F188">
        <v>648</v>
      </c>
      <c r="G188">
        <v>4</v>
      </c>
      <c r="H188">
        <v>1303</v>
      </c>
      <c r="I188">
        <v>8</v>
      </c>
      <c r="J188">
        <v>3130</v>
      </c>
      <c r="K188">
        <v>19</v>
      </c>
      <c r="L188">
        <v>3876</v>
      </c>
      <c r="M188">
        <v>24</v>
      </c>
      <c r="N188">
        <v>4021</v>
      </c>
      <c r="O188">
        <v>25</v>
      </c>
      <c r="P188">
        <v>3261</v>
      </c>
      <c r="Q188">
        <v>20</v>
      </c>
    </row>
    <row r="189" spans="1:17" x14ac:dyDescent="0.35">
      <c r="A189" t="s">
        <v>17</v>
      </c>
      <c r="B189" s="201">
        <v>52</v>
      </c>
      <c r="C189">
        <v>19543</v>
      </c>
      <c r="D189">
        <v>34866</v>
      </c>
      <c r="E189" s="129" t="s">
        <v>39</v>
      </c>
      <c r="F189">
        <v>1846</v>
      </c>
      <c r="G189">
        <v>5</v>
      </c>
      <c r="H189">
        <v>3855</v>
      </c>
      <c r="I189">
        <v>11</v>
      </c>
      <c r="J189">
        <v>5937</v>
      </c>
      <c r="K189">
        <v>17</v>
      </c>
      <c r="L189">
        <v>7250</v>
      </c>
      <c r="M189">
        <v>21</v>
      </c>
      <c r="N189">
        <v>9180</v>
      </c>
      <c r="O189">
        <v>26</v>
      </c>
      <c r="P189">
        <v>6798</v>
      </c>
      <c r="Q189">
        <v>19</v>
      </c>
    </row>
    <row r="190" spans="1:17" x14ac:dyDescent="0.35">
      <c r="A190" t="s">
        <v>17</v>
      </c>
      <c r="B190" s="201">
        <v>53</v>
      </c>
      <c r="C190">
        <v>9937</v>
      </c>
      <c r="D190">
        <v>16009</v>
      </c>
      <c r="E190" s="129" t="s">
        <v>40</v>
      </c>
      <c r="F190">
        <v>737</v>
      </c>
      <c r="G190">
        <v>5</v>
      </c>
      <c r="H190">
        <v>1354</v>
      </c>
      <c r="I190">
        <v>8</v>
      </c>
      <c r="J190">
        <v>3020</v>
      </c>
      <c r="K190">
        <v>19</v>
      </c>
      <c r="L190">
        <v>3496</v>
      </c>
      <c r="M190">
        <v>22</v>
      </c>
      <c r="N190">
        <v>3986</v>
      </c>
      <c r="O190">
        <v>25</v>
      </c>
      <c r="P190">
        <v>3416</v>
      </c>
      <c r="Q190">
        <v>21</v>
      </c>
    </row>
    <row r="191" spans="1:17" x14ac:dyDescent="0.35">
      <c r="A191" t="s">
        <v>17</v>
      </c>
      <c r="B191" s="201">
        <v>54</v>
      </c>
      <c r="C191">
        <v>16103</v>
      </c>
      <c r="D191">
        <v>24648</v>
      </c>
      <c r="E191" s="129" t="s">
        <v>33</v>
      </c>
      <c r="F191">
        <v>983</v>
      </c>
      <c r="G191">
        <v>4</v>
      </c>
      <c r="H191">
        <v>2194</v>
      </c>
      <c r="I191">
        <v>9</v>
      </c>
      <c r="J191">
        <v>5470</v>
      </c>
      <c r="K191">
        <v>22</v>
      </c>
      <c r="L191">
        <v>6209</v>
      </c>
      <c r="M191">
        <v>25</v>
      </c>
      <c r="N191">
        <v>5577</v>
      </c>
      <c r="O191">
        <v>23</v>
      </c>
      <c r="P191">
        <v>4215</v>
      </c>
      <c r="Q191">
        <v>17</v>
      </c>
    </row>
    <row r="192" spans="1:17" x14ac:dyDescent="0.35">
      <c r="A192" s="203" t="s">
        <v>17</v>
      </c>
      <c r="B192" s="204">
        <v>55</v>
      </c>
      <c r="C192" s="203">
        <v>17373</v>
      </c>
      <c r="D192" s="203">
        <v>28243</v>
      </c>
      <c r="E192" s="205" t="s">
        <v>40</v>
      </c>
      <c r="F192" s="203">
        <v>1458</v>
      </c>
      <c r="G192" s="203">
        <v>5</v>
      </c>
      <c r="H192" s="203">
        <v>2536</v>
      </c>
      <c r="I192" s="203">
        <v>9</v>
      </c>
      <c r="J192" s="203">
        <v>5090</v>
      </c>
      <c r="K192" s="203">
        <v>18</v>
      </c>
      <c r="L192" s="203">
        <v>7674</v>
      </c>
      <c r="M192" s="203">
        <v>27</v>
      </c>
      <c r="N192" s="203">
        <v>5754</v>
      </c>
      <c r="O192" s="203">
        <v>20</v>
      </c>
      <c r="P192" s="203">
        <v>5731</v>
      </c>
      <c r="Q192" s="203">
        <v>20</v>
      </c>
    </row>
    <row r="193" spans="1:17" x14ac:dyDescent="0.35">
      <c r="A193" t="s">
        <v>17</v>
      </c>
      <c r="B193" s="201">
        <v>56</v>
      </c>
      <c r="C193">
        <v>9128</v>
      </c>
      <c r="D193">
        <v>14987</v>
      </c>
      <c r="E193" s="129" t="s">
        <v>40</v>
      </c>
      <c r="F193">
        <v>869</v>
      </c>
      <c r="G193">
        <v>6</v>
      </c>
      <c r="H193">
        <v>1518</v>
      </c>
      <c r="I193">
        <v>10</v>
      </c>
      <c r="J193">
        <v>2541</v>
      </c>
      <c r="K193">
        <v>17</v>
      </c>
      <c r="L193">
        <v>3614</v>
      </c>
      <c r="M193">
        <v>24</v>
      </c>
      <c r="N193">
        <v>3489</v>
      </c>
      <c r="O193">
        <v>23</v>
      </c>
      <c r="P193">
        <v>2956</v>
      </c>
      <c r="Q193">
        <v>20</v>
      </c>
    </row>
    <row r="194" spans="1:17" x14ac:dyDescent="0.35">
      <c r="A194" t="s">
        <v>17</v>
      </c>
      <c r="B194" s="201">
        <v>57</v>
      </c>
      <c r="C194">
        <v>22486</v>
      </c>
      <c r="D194">
        <v>38213</v>
      </c>
      <c r="E194" s="129" t="s">
        <v>36</v>
      </c>
      <c r="F194">
        <v>2102</v>
      </c>
      <c r="G194">
        <v>6</v>
      </c>
      <c r="H194">
        <v>4125</v>
      </c>
      <c r="I194">
        <v>11</v>
      </c>
      <c r="J194">
        <v>7781</v>
      </c>
      <c r="K194">
        <v>20</v>
      </c>
      <c r="L194">
        <v>9910</v>
      </c>
      <c r="M194">
        <v>26</v>
      </c>
      <c r="N194">
        <v>8660</v>
      </c>
      <c r="O194">
        <v>23</v>
      </c>
      <c r="P194">
        <v>5635</v>
      </c>
      <c r="Q194">
        <v>15</v>
      </c>
    </row>
    <row r="195" spans="1:17" x14ac:dyDescent="0.35">
      <c r="A195" s="203" t="s">
        <v>17</v>
      </c>
      <c r="B195" s="204">
        <v>58</v>
      </c>
      <c r="C195" s="203">
        <v>11722</v>
      </c>
      <c r="D195" s="203">
        <v>21186</v>
      </c>
      <c r="E195" s="205" t="s">
        <v>39</v>
      </c>
      <c r="F195" s="203">
        <v>1226</v>
      </c>
      <c r="G195" s="203">
        <v>6</v>
      </c>
      <c r="H195" s="203">
        <v>2191</v>
      </c>
      <c r="I195" s="203">
        <v>10</v>
      </c>
      <c r="J195" s="203">
        <v>3776</v>
      </c>
      <c r="K195" s="203">
        <v>18</v>
      </c>
      <c r="L195" s="203">
        <v>4712</v>
      </c>
      <c r="M195" s="203">
        <v>22</v>
      </c>
      <c r="N195" s="203">
        <v>5137</v>
      </c>
      <c r="O195" s="203">
        <v>24</v>
      </c>
      <c r="P195" s="203">
        <v>4144</v>
      </c>
      <c r="Q195" s="203">
        <v>20</v>
      </c>
    </row>
    <row r="196" spans="1:17" x14ac:dyDescent="0.35">
      <c r="A196" t="s">
        <v>17</v>
      </c>
      <c r="B196" s="201">
        <v>59</v>
      </c>
      <c r="C196">
        <v>14699</v>
      </c>
      <c r="D196">
        <v>26328</v>
      </c>
      <c r="E196" s="129" t="s">
        <v>39</v>
      </c>
      <c r="F196">
        <v>1483</v>
      </c>
      <c r="G196">
        <v>6</v>
      </c>
      <c r="H196">
        <v>2904</v>
      </c>
      <c r="I196">
        <v>11</v>
      </c>
      <c r="J196">
        <v>4984</v>
      </c>
      <c r="K196">
        <v>19</v>
      </c>
      <c r="L196">
        <v>5527</v>
      </c>
      <c r="M196">
        <v>21</v>
      </c>
      <c r="N196">
        <v>6609</v>
      </c>
      <c r="O196">
        <v>25</v>
      </c>
      <c r="P196">
        <v>4821</v>
      </c>
      <c r="Q196">
        <v>18</v>
      </c>
    </row>
    <row r="197" spans="1:17" x14ac:dyDescent="0.35">
      <c r="A197" t="s">
        <v>17</v>
      </c>
      <c r="B197" s="201">
        <v>60</v>
      </c>
      <c r="C197">
        <v>14031</v>
      </c>
      <c r="D197">
        <v>21152</v>
      </c>
      <c r="E197" s="129" t="s">
        <v>33</v>
      </c>
      <c r="F197">
        <v>992</v>
      </c>
      <c r="G197">
        <v>5</v>
      </c>
      <c r="H197">
        <v>1617</v>
      </c>
      <c r="I197">
        <v>8</v>
      </c>
      <c r="J197">
        <v>4608</v>
      </c>
      <c r="K197">
        <v>22</v>
      </c>
      <c r="L197">
        <v>5646</v>
      </c>
      <c r="M197">
        <v>27</v>
      </c>
      <c r="N197">
        <v>4540</v>
      </c>
      <c r="O197">
        <v>21</v>
      </c>
      <c r="P197">
        <v>3749</v>
      </c>
      <c r="Q197">
        <v>18</v>
      </c>
    </row>
    <row r="198" spans="1:17" x14ac:dyDescent="0.35">
      <c r="A198" t="s">
        <v>17</v>
      </c>
      <c r="B198" s="201">
        <v>61</v>
      </c>
      <c r="C198">
        <v>9834</v>
      </c>
      <c r="D198">
        <v>15544</v>
      </c>
      <c r="E198" s="129" t="s">
        <v>40</v>
      </c>
      <c r="F198">
        <v>692</v>
      </c>
      <c r="G198">
        <v>4</v>
      </c>
      <c r="H198">
        <v>1085</v>
      </c>
      <c r="I198">
        <v>7</v>
      </c>
      <c r="J198">
        <v>3533</v>
      </c>
      <c r="K198">
        <v>23</v>
      </c>
      <c r="L198">
        <v>4245</v>
      </c>
      <c r="M198">
        <v>27</v>
      </c>
      <c r="N198">
        <v>2850</v>
      </c>
      <c r="O198">
        <v>18</v>
      </c>
      <c r="P198">
        <v>3139</v>
      </c>
      <c r="Q198">
        <v>20</v>
      </c>
    </row>
    <row r="199" spans="1:17" x14ac:dyDescent="0.35">
      <c r="A199" t="s">
        <v>17</v>
      </c>
      <c r="B199" s="201">
        <v>62</v>
      </c>
      <c r="C199">
        <v>14044</v>
      </c>
      <c r="D199">
        <v>23766</v>
      </c>
      <c r="E199" s="129" t="s">
        <v>36</v>
      </c>
      <c r="F199">
        <v>1303</v>
      </c>
      <c r="G199">
        <v>5</v>
      </c>
      <c r="H199">
        <v>2128</v>
      </c>
      <c r="I199">
        <v>9</v>
      </c>
      <c r="J199">
        <v>5195</v>
      </c>
      <c r="K199">
        <v>22</v>
      </c>
      <c r="L199">
        <v>5990</v>
      </c>
      <c r="M199">
        <v>25</v>
      </c>
      <c r="N199">
        <v>5175</v>
      </c>
      <c r="O199">
        <v>22</v>
      </c>
      <c r="P199">
        <v>3975</v>
      </c>
      <c r="Q199">
        <v>17</v>
      </c>
    </row>
    <row r="200" spans="1:17" x14ac:dyDescent="0.35">
      <c r="A200" t="s">
        <v>17</v>
      </c>
      <c r="B200" s="201">
        <v>63</v>
      </c>
      <c r="C200">
        <v>1143</v>
      </c>
      <c r="D200">
        <v>1984</v>
      </c>
      <c r="E200" s="129" t="s">
        <v>36</v>
      </c>
      <c r="F200">
        <v>137</v>
      </c>
      <c r="G200">
        <v>7</v>
      </c>
      <c r="H200">
        <v>238</v>
      </c>
      <c r="I200">
        <v>12</v>
      </c>
      <c r="J200">
        <v>285</v>
      </c>
      <c r="K200">
        <v>14</v>
      </c>
      <c r="L200">
        <v>450</v>
      </c>
      <c r="M200">
        <v>23</v>
      </c>
      <c r="N200">
        <v>521</v>
      </c>
      <c r="O200">
        <v>26</v>
      </c>
      <c r="P200">
        <v>353</v>
      </c>
      <c r="Q200">
        <v>18</v>
      </c>
    </row>
    <row r="201" spans="1:17" x14ac:dyDescent="0.35">
      <c r="A201" t="s">
        <v>17</v>
      </c>
      <c r="B201" s="201">
        <v>64</v>
      </c>
      <c r="C201">
        <v>14711</v>
      </c>
      <c r="D201">
        <v>23052</v>
      </c>
      <c r="E201" s="129" t="s">
        <v>40</v>
      </c>
      <c r="F201">
        <v>1032</v>
      </c>
      <c r="G201">
        <v>4</v>
      </c>
      <c r="H201">
        <v>1654</v>
      </c>
      <c r="I201">
        <v>7</v>
      </c>
      <c r="J201">
        <v>5684</v>
      </c>
      <c r="K201">
        <v>25</v>
      </c>
      <c r="L201">
        <v>6426</v>
      </c>
      <c r="M201">
        <v>28</v>
      </c>
      <c r="N201">
        <v>4452</v>
      </c>
      <c r="O201">
        <v>19</v>
      </c>
      <c r="P201">
        <v>3804</v>
      </c>
      <c r="Q201">
        <v>17</v>
      </c>
    </row>
    <row r="202" spans="1:17" x14ac:dyDescent="0.35">
      <c r="A202" t="s">
        <v>17</v>
      </c>
      <c r="B202" s="201">
        <v>65</v>
      </c>
      <c r="C202">
        <v>9155</v>
      </c>
      <c r="D202">
        <v>14761</v>
      </c>
      <c r="E202" s="129" t="s">
        <v>40</v>
      </c>
      <c r="F202">
        <v>765</v>
      </c>
      <c r="G202">
        <v>5</v>
      </c>
      <c r="H202">
        <v>1291</v>
      </c>
      <c r="I202">
        <v>9</v>
      </c>
      <c r="J202">
        <v>2841</v>
      </c>
      <c r="K202">
        <v>19</v>
      </c>
      <c r="L202">
        <v>3650</v>
      </c>
      <c r="M202">
        <v>25</v>
      </c>
      <c r="N202">
        <v>3271</v>
      </c>
      <c r="O202">
        <v>22</v>
      </c>
      <c r="P202">
        <v>2943</v>
      </c>
      <c r="Q202">
        <v>20</v>
      </c>
    </row>
    <row r="203" spans="1:17" x14ac:dyDescent="0.35">
      <c r="A203" t="s">
        <v>17</v>
      </c>
      <c r="B203" s="201">
        <v>66</v>
      </c>
      <c r="C203">
        <v>24138</v>
      </c>
      <c r="D203">
        <v>39206</v>
      </c>
      <c r="E203" s="129" t="s">
        <v>40</v>
      </c>
      <c r="F203">
        <v>2053</v>
      </c>
      <c r="G203">
        <v>5</v>
      </c>
      <c r="H203">
        <v>3675</v>
      </c>
      <c r="I203">
        <v>9</v>
      </c>
      <c r="J203">
        <v>8270</v>
      </c>
      <c r="K203">
        <v>21</v>
      </c>
      <c r="L203">
        <v>10709</v>
      </c>
      <c r="M203">
        <v>27</v>
      </c>
      <c r="N203">
        <v>8459</v>
      </c>
      <c r="O203">
        <v>22</v>
      </c>
      <c r="P203">
        <v>6040</v>
      </c>
      <c r="Q203">
        <v>15</v>
      </c>
    </row>
    <row r="204" spans="1:17" x14ac:dyDescent="0.35">
      <c r="A204" t="s">
        <v>17</v>
      </c>
      <c r="B204" s="201">
        <v>67</v>
      </c>
      <c r="C204">
        <v>10570</v>
      </c>
      <c r="D204">
        <v>17973</v>
      </c>
      <c r="E204" s="129" t="s">
        <v>36</v>
      </c>
      <c r="F204">
        <v>903</v>
      </c>
      <c r="G204">
        <v>5</v>
      </c>
      <c r="H204">
        <v>1754</v>
      </c>
      <c r="I204">
        <v>10</v>
      </c>
      <c r="J204">
        <v>3539</v>
      </c>
      <c r="K204">
        <v>20</v>
      </c>
      <c r="L204">
        <v>4056</v>
      </c>
      <c r="M204">
        <v>23</v>
      </c>
      <c r="N204">
        <v>4106</v>
      </c>
      <c r="O204">
        <v>23</v>
      </c>
      <c r="P204">
        <v>3615</v>
      </c>
      <c r="Q204">
        <v>20</v>
      </c>
    </row>
    <row r="205" spans="1:17" x14ac:dyDescent="0.35">
      <c r="A205" t="s">
        <v>17</v>
      </c>
      <c r="B205" s="201">
        <v>68</v>
      </c>
      <c r="C205">
        <v>10497</v>
      </c>
      <c r="D205">
        <v>19903</v>
      </c>
      <c r="E205" s="129" t="s">
        <v>22</v>
      </c>
      <c r="F205">
        <v>1171</v>
      </c>
      <c r="G205">
        <v>6</v>
      </c>
      <c r="H205">
        <v>2452</v>
      </c>
      <c r="I205">
        <v>12</v>
      </c>
      <c r="J205">
        <v>3732</v>
      </c>
      <c r="K205">
        <v>19</v>
      </c>
      <c r="L205">
        <v>4684</v>
      </c>
      <c r="M205">
        <v>24</v>
      </c>
      <c r="N205">
        <v>4583</v>
      </c>
      <c r="O205">
        <v>23</v>
      </c>
      <c r="P205">
        <v>3281</v>
      </c>
      <c r="Q205">
        <v>16</v>
      </c>
    </row>
    <row r="206" spans="1:17" x14ac:dyDescent="0.35">
      <c r="A206" t="s">
        <v>31</v>
      </c>
      <c r="B206" s="201">
        <v>89</v>
      </c>
      <c r="C206">
        <v>4561</v>
      </c>
      <c r="D206">
        <v>7927</v>
      </c>
      <c r="E206" s="129" t="s">
        <v>36</v>
      </c>
      <c r="F206">
        <v>428</v>
      </c>
      <c r="G206">
        <v>5</v>
      </c>
      <c r="H206">
        <v>855</v>
      </c>
      <c r="I206">
        <v>11</v>
      </c>
      <c r="J206">
        <v>1585</v>
      </c>
      <c r="K206">
        <v>20</v>
      </c>
      <c r="L206">
        <v>1783</v>
      </c>
      <c r="M206">
        <v>22</v>
      </c>
      <c r="N206">
        <v>1759</v>
      </c>
      <c r="O206">
        <v>22</v>
      </c>
      <c r="P206">
        <v>1507</v>
      </c>
      <c r="Q206">
        <v>19</v>
      </c>
    </row>
    <row r="207" spans="1:17" x14ac:dyDescent="0.35">
      <c r="A207" t="s">
        <v>30</v>
      </c>
      <c r="B207" s="201">
        <v>31</v>
      </c>
      <c r="C207">
        <v>9601</v>
      </c>
      <c r="D207">
        <v>17739</v>
      </c>
      <c r="E207" s="129" t="s">
        <v>39</v>
      </c>
      <c r="F207">
        <v>1087</v>
      </c>
      <c r="G207">
        <v>6</v>
      </c>
      <c r="H207">
        <v>2115</v>
      </c>
      <c r="I207">
        <v>12</v>
      </c>
      <c r="J207">
        <v>3355</v>
      </c>
      <c r="K207">
        <v>19</v>
      </c>
      <c r="L207">
        <v>4125</v>
      </c>
      <c r="M207">
        <v>23</v>
      </c>
      <c r="N207">
        <v>4154</v>
      </c>
      <c r="O207">
        <v>23</v>
      </c>
      <c r="P207">
        <v>2903</v>
      </c>
      <c r="Q207">
        <v>16</v>
      </c>
    </row>
    <row r="208" spans="1:17" x14ac:dyDescent="0.35">
      <c r="A208" t="s">
        <v>30</v>
      </c>
      <c r="B208" s="201">
        <v>32</v>
      </c>
      <c r="C208">
        <v>7054</v>
      </c>
      <c r="D208">
        <v>11229</v>
      </c>
      <c r="E208" s="129" t="s">
        <v>40</v>
      </c>
      <c r="F208">
        <v>605</v>
      </c>
      <c r="G208">
        <v>5</v>
      </c>
      <c r="H208">
        <v>1184</v>
      </c>
      <c r="I208">
        <v>11</v>
      </c>
      <c r="J208">
        <v>2057</v>
      </c>
      <c r="K208">
        <v>18</v>
      </c>
      <c r="L208">
        <v>2689</v>
      </c>
      <c r="M208">
        <v>24</v>
      </c>
      <c r="N208">
        <v>2776</v>
      </c>
      <c r="O208">
        <v>25</v>
      </c>
      <c r="P208">
        <v>1918</v>
      </c>
      <c r="Q208">
        <v>17</v>
      </c>
    </row>
    <row r="209" spans="1:17" x14ac:dyDescent="0.35">
      <c r="A209" t="s">
        <v>30</v>
      </c>
      <c r="B209" s="201">
        <v>33</v>
      </c>
      <c r="C209">
        <v>6946</v>
      </c>
      <c r="D209">
        <v>9977</v>
      </c>
      <c r="E209" s="129" t="s">
        <v>41</v>
      </c>
      <c r="F209">
        <v>609</v>
      </c>
      <c r="G209">
        <v>6</v>
      </c>
      <c r="H209">
        <v>774</v>
      </c>
      <c r="I209">
        <v>8</v>
      </c>
      <c r="J209">
        <v>4111</v>
      </c>
      <c r="K209">
        <v>41</v>
      </c>
      <c r="L209">
        <v>2488</v>
      </c>
      <c r="M209">
        <v>25</v>
      </c>
      <c r="N209">
        <v>1469</v>
      </c>
      <c r="O209">
        <v>15</v>
      </c>
      <c r="P209">
        <v>526</v>
      </c>
      <c r="Q209">
        <v>5</v>
      </c>
    </row>
    <row r="210" spans="1:17" x14ac:dyDescent="0.35">
      <c r="A210" s="203" t="s">
        <v>30</v>
      </c>
      <c r="B210" s="204">
        <v>34</v>
      </c>
      <c r="C210" s="203">
        <v>8447</v>
      </c>
      <c r="D210" s="203">
        <v>14593</v>
      </c>
      <c r="E210" s="205" t="s">
        <v>36</v>
      </c>
      <c r="F210" s="203">
        <v>804</v>
      </c>
      <c r="G210" s="203">
        <v>6</v>
      </c>
      <c r="H210" s="203">
        <v>1413</v>
      </c>
      <c r="I210" s="203">
        <v>10</v>
      </c>
      <c r="J210" s="203">
        <v>3098</v>
      </c>
      <c r="K210" s="203">
        <v>21</v>
      </c>
      <c r="L210" s="203">
        <v>3435</v>
      </c>
      <c r="M210" s="203">
        <v>24</v>
      </c>
      <c r="N210" s="203">
        <v>3105</v>
      </c>
      <c r="O210" s="203">
        <v>21</v>
      </c>
      <c r="P210" s="203">
        <v>2738</v>
      </c>
      <c r="Q210" s="203">
        <v>19</v>
      </c>
    </row>
    <row r="211" spans="1:17" x14ac:dyDescent="0.35">
      <c r="A211" s="203" t="s">
        <v>30</v>
      </c>
      <c r="B211" s="204">
        <v>35</v>
      </c>
      <c r="C211" s="203">
        <v>18796</v>
      </c>
      <c r="D211" s="203">
        <v>30476</v>
      </c>
      <c r="E211" s="205" t="s">
        <v>40</v>
      </c>
      <c r="F211" s="203">
        <v>1496</v>
      </c>
      <c r="G211" s="203">
        <v>5</v>
      </c>
      <c r="H211" s="203">
        <v>2767</v>
      </c>
      <c r="I211" s="203">
        <v>9</v>
      </c>
      <c r="J211" s="203">
        <v>6283</v>
      </c>
      <c r="K211" s="203">
        <v>21</v>
      </c>
      <c r="L211" s="203">
        <v>7082</v>
      </c>
      <c r="M211" s="203">
        <v>23</v>
      </c>
      <c r="N211" s="203">
        <v>6566</v>
      </c>
      <c r="O211" s="203">
        <v>22</v>
      </c>
      <c r="P211" s="203">
        <v>6282</v>
      </c>
      <c r="Q211" s="203">
        <v>21</v>
      </c>
    </row>
    <row r="212" spans="1:17" x14ac:dyDescent="0.35">
      <c r="A212" t="s">
        <v>30</v>
      </c>
      <c r="B212" s="201">
        <v>43</v>
      </c>
      <c r="C212">
        <v>11643</v>
      </c>
      <c r="D212">
        <v>18749</v>
      </c>
      <c r="E212" s="129" t="s">
        <v>40</v>
      </c>
      <c r="F212">
        <v>1102</v>
      </c>
      <c r="G212">
        <v>6</v>
      </c>
      <c r="H212">
        <v>1830</v>
      </c>
      <c r="I212">
        <v>10</v>
      </c>
      <c r="J212">
        <v>4467</v>
      </c>
      <c r="K212">
        <v>24</v>
      </c>
      <c r="L212">
        <v>4616</v>
      </c>
      <c r="M212">
        <v>25</v>
      </c>
      <c r="N212">
        <v>4057</v>
      </c>
      <c r="O212">
        <v>22</v>
      </c>
      <c r="P212">
        <v>2677</v>
      </c>
      <c r="Q212">
        <v>14</v>
      </c>
    </row>
    <row r="213" spans="1:17" x14ac:dyDescent="0.35">
      <c r="A213" t="s">
        <v>30</v>
      </c>
      <c r="B213" s="201">
        <v>44</v>
      </c>
      <c r="C213">
        <v>14687</v>
      </c>
      <c r="D213">
        <v>23623</v>
      </c>
      <c r="E213" s="129" t="s">
        <v>40</v>
      </c>
      <c r="F213">
        <v>1341</v>
      </c>
      <c r="G213">
        <v>6</v>
      </c>
      <c r="H213">
        <v>2353</v>
      </c>
      <c r="I213">
        <v>10</v>
      </c>
      <c r="J213">
        <v>5658</v>
      </c>
      <c r="K213">
        <v>24</v>
      </c>
      <c r="L213">
        <v>6199</v>
      </c>
      <c r="M213">
        <v>26</v>
      </c>
      <c r="N213">
        <v>4875</v>
      </c>
      <c r="O213">
        <v>21</v>
      </c>
      <c r="P213">
        <v>3197</v>
      </c>
      <c r="Q213">
        <v>14</v>
      </c>
    </row>
    <row r="214" spans="1:17" x14ac:dyDescent="0.35">
      <c r="A214" t="s">
        <v>30</v>
      </c>
      <c r="B214" s="201">
        <v>46</v>
      </c>
      <c r="C214">
        <v>9937</v>
      </c>
      <c r="D214">
        <v>16927</v>
      </c>
      <c r="E214" s="129" t="s">
        <v>36</v>
      </c>
      <c r="F214">
        <v>1009</v>
      </c>
      <c r="G214">
        <v>6</v>
      </c>
      <c r="H214">
        <v>1760</v>
      </c>
      <c r="I214">
        <v>10</v>
      </c>
      <c r="J214">
        <v>3891</v>
      </c>
      <c r="K214">
        <v>23</v>
      </c>
      <c r="L214">
        <v>4250</v>
      </c>
      <c r="M214">
        <v>25</v>
      </c>
      <c r="N214">
        <v>3689</v>
      </c>
      <c r="O214">
        <v>22</v>
      </c>
      <c r="P214">
        <v>2328</v>
      </c>
      <c r="Q214">
        <v>14</v>
      </c>
    </row>
  </sheetData>
  <mergeCells count="55">
    <mergeCell ref="N4:O4"/>
    <mergeCell ref="P4:Q4"/>
    <mergeCell ref="F4:G4"/>
    <mergeCell ref="A43:A44"/>
    <mergeCell ref="B43:B44"/>
    <mergeCell ref="C43:C44"/>
    <mergeCell ref="D43:D44"/>
    <mergeCell ref="E43:E44"/>
    <mergeCell ref="F43:G43"/>
    <mergeCell ref="H43:I43"/>
    <mergeCell ref="J43:K43"/>
    <mergeCell ref="L43:M43"/>
    <mergeCell ref="N43:O43"/>
    <mergeCell ref="P43:Q43"/>
    <mergeCell ref="L84:M84"/>
    <mergeCell ref="A4:A5"/>
    <mergeCell ref="B4:B5"/>
    <mergeCell ref="C4:C5"/>
    <mergeCell ref="D4:D5"/>
    <mergeCell ref="E4:E5"/>
    <mergeCell ref="H4:I4"/>
    <mergeCell ref="J4:K4"/>
    <mergeCell ref="L4:M4"/>
    <mergeCell ref="D84:D85"/>
    <mergeCell ref="E84:E85"/>
    <mergeCell ref="F84:G84"/>
    <mergeCell ref="H84:I84"/>
    <mergeCell ref="J84:K84"/>
    <mergeCell ref="N84:O84"/>
    <mergeCell ref="P84:Q84"/>
    <mergeCell ref="A127:A128"/>
    <mergeCell ref="B127:B128"/>
    <mergeCell ref="C127:C128"/>
    <mergeCell ref="D127:D128"/>
    <mergeCell ref="E127:E128"/>
    <mergeCell ref="F127:G127"/>
    <mergeCell ref="H127:I127"/>
    <mergeCell ref="J127:K127"/>
    <mergeCell ref="L127:M127"/>
    <mergeCell ref="N127:O127"/>
    <mergeCell ref="P127:Q127"/>
    <mergeCell ref="A84:A85"/>
    <mergeCell ref="B84:B85"/>
    <mergeCell ref="C84:C85"/>
    <mergeCell ref="N172:O172"/>
    <mergeCell ref="P172:Q172"/>
    <mergeCell ref="A172:A173"/>
    <mergeCell ref="B172:B173"/>
    <mergeCell ref="C172:C173"/>
    <mergeCell ref="D172:D173"/>
    <mergeCell ref="E172:E173"/>
    <mergeCell ref="F172:G172"/>
    <mergeCell ref="H172:I172"/>
    <mergeCell ref="J172:K172"/>
    <mergeCell ref="L172:M172"/>
  </mergeCells>
  <pageMargins left="0.7" right="0.7" top="0.75" bottom="0.75" header="0.3" footer="0.3"/>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60A66-9C10-4644-812A-E0EF22031036}">
  <dimension ref="A1:AC107"/>
  <sheetViews>
    <sheetView zoomScale="99" workbookViewId="0">
      <pane xSplit="3" ySplit="1" topLeftCell="S63" activePane="bottomRight" state="frozen"/>
      <selection pane="topRight" activeCell="D1" sqref="D1"/>
      <selection pane="bottomLeft" activeCell="A2" sqref="A2"/>
      <selection pane="bottomRight" activeCell="O7" sqref="O7"/>
    </sheetView>
  </sheetViews>
  <sheetFormatPr defaultRowHeight="14.5" x14ac:dyDescent="0.35"/>
  <cols>
    <col min="1" max="1" width="1.90625" customWidth="1"/>
    <col min="2" max="2" width="2.453125" customWidth="1"/>
    <col min="3" max="3" width="40.54296875" customWidth="1"/>
    <col min="4" max="4" width="10.453125" bestFit="1" customWidth="1"/>
    <col min="5" max="5" width="7.6328125" customWidth="1"/>
    <col min="6" max="6" width="7.36328125" customWidth="1"/>
    <col min="7" max="7" width="10.453125" bestFit="1" customWidth="1"/>
    <col min="8" max="9" width="9.36328125" bestFit="1" customWidth="1"/>
    <col min="10" max="10" width="10.453125" bestFit="1" customWidth="1"/>
    <col min="11" max="12" width="9.36328125" bestFit="1" customWidth="1"/>
    <col min="13" max="13" width="10.453125" bestFit="1" customWidth="1"/>
    <col min="14" max="15" width="9.36328125" bestFit="1" customWidth="1"/>
    <col min="16" max="16" width="10.453125" bestFit="1" customWidth="1"/>
    <col min="17" max="18" width="9.36328125" bestFit="1" customWidth="1"/>
    <col min="19" max="19" width="14.6328125" customWidth="1"/>
    <col min="20" max="20" width="9.36328125" bestFit="1" customWidth="1"/>
    <col min="21" max="21" width="12.90625" customWidth="1"/>
    <col min="22" max="22" width="22.453125" customWidth="1"/>
    <col min="23" max="23" width="0" hidden="1" customWidth="1"/>
    <col min="24" max="24" width="5.453125" customWidth="1"/>
    <col min="25" max="25" width="18.453125" customWidth="1"/>
    <col min="16384" max="16384" width="9.1796875" bestFit="1" customWidth="1"/>
  </cols>
  <sheetData>
    <row r="1" spans="1:29" ht="15" thickBot="1" x14ac:dyDescent="0.4">
      <c r="D1" s="314" t="s">
        <v>42</v>
      </c>
      <c r="E1" s="315"/>
      <c r="F1" s="319"/>
      <c r="G1" s="314" t="s">
        <v>32</v>
      </c>
      <c r="H1" s="315"/>
      <c r="I1" s="316"/>
      <c r="J1" s="320" t="s">
        <v>35</v>
      </c>
      <c r="K1" s="315"/>
      <c r="L1" s="319"/>
      <c r="M1" s="314" t="s">
        <v>38</v>
      </c>
      <c r="N1" s="315"/>
      <c r="O1" s="316"/>
      <c r="P1" s="234" t="s">
        <v>9</v>
      </c>
      <c r="Q1" s="2"/>
      <c r="R1" s="3"/>
      <c r="S1" s="314" t="s">
        <v>43</v>
      </c>
      <c r="T1" s="315"/>
      <c r="U1" s="316"/>
      <c r="V1" s="329" t="s">
        <v>44</v>
      </c>
      <c r="W1" s="330"/>
      <c r="X1" s="331"/>
      <c r="Y1" s="4"/>
    </row>
    <row r="2" spans="1:29" ht="158.25" customHeight="1" thickBot="1" x14ac:dyDescent="0.4">
      <c r="D2" s="5" t="s">
        <v>45</v>
      </c>
      <c r="E2" s="6" t="s">
        <v>46</v>
      </c>
      <c r="F2" s="7" t="s">
        <v>47</v>
      </c>
      <c r="G2" s="5" t="s">
        <v>45</v>
      </c>
      <c r="H2" s="6" t="s">
        <v>46</v>
      </c>
      <c r="I2" s="113" t="s">
        <v>47</v>
      </c>
      <c r="J2" s="220" t="s">
        <v>45</v>
      </c>
      <c r="K2" s="6" t="s">
        <v>46</v>
      </c>
      <c r="L2" s="7" t="s">
        <v>47</v>
      </c>
      <c r="M2" s="5" t="s">
        <v>45</v>
      </c>
      <c r="N2" s="6" t="s">
        <v>46</v>
      </c>
      <c r="O2" s="113" t="s">
        <v>47</v>
      </c>
      <c r="P2" s="220" t="s">
        <v>45</v>
      </c>
      <c r="Q2" s="6" t="s">
        <v>46</v>
      </c>
      <c r="R2" s="7" t="s">
        <v>47</v>
      </c>
      <c r="S2" s="5" t="s">
        <v>273</v>
      </c>
      <c r="T2" s="6" t="s">
        <v>46</v>
      </c>
      <c r="U2" s="113" t="s">
        <v>47</v>
      </c>
      <c r="V2" s="333" t="s">
        <v>48</v>
      </c>
      <c r="W2" s="334"/>
      <c r="X2" s="332"/>
      <c r="Y2" s="9" t="s">
        <v>270</v>
      </c>
    </row>
    <row r="3" spans="1:29" x14ac:dyDescent="0.35">
      <c r="A3" s="10" t="s">
        <v>49</v>
      </c>
      <c r="B3" s="11"/>
      <c r="C3" s="11"/>
      <c r="D3" s="12"/>
      <c r="E3" s="13"/>
      <c r="F3" s="14"/>
      <c r="G3" s="12"/>
      <c r="H3" s="13"/>
      <c r="I3" s="163"/>
      <c r="J3" s="221"/>
      <c r="K3" s="13"/>
      <c r="L3" s="14"/>
      <c r="M3" s="12"/>
      <c r="N3" s="13"/>
      <c r="O3" s="163"/>
      <c r="P3" s="221"/>
      <c r="Q3" s="13"/>
      <c r="R3" s="14"/>
      <c r="S3" s="15"/>
      <c r="T3" s="13"/>
      <c r="U3" s="163"/>
      <c r="V3" s="321"/>
      <c r="W3" s="16"/>
      <c r="X3" s="17"/>
      <c r="Y3" s="18"/>
    </row>
    <row r="4" spans="1:29" x14ac:dyDescent="0.35">
      <c r="A4" s="19"/>
      <c r="B4" s="20" t="s">
        <v>50</v>
      </c>
      <c r="C4" s="21"/>
      <c r="D4" s="22">
        <f>D5+D6</f>
        <v>64.244829590653694</v>
      </c>
      <c r="E4" s="23"/>
      <c r="F4" s="24"/>
      <c r="G4" s="22">
        <f>G5+G6</f>
        <v>60.675592928874728</v>
      </c>
      <c r="H4" s="23"/>
      <c r="I4" s="227"/>
      <c r="J4" s="222">
        <f>J5+J6</f>
        <v>41.039472478269971</v>
      </c>
      <c r="K4" s="23"/>
      <c r="L4" s="24"/>
      <c r="M4" s="22">
        <f t="shared" ref="M4:P4" si="0">M5+M6</f>
        <v>37.391944092945103</v>
      </c>
      <c r="N4" s="23"/>
      <c r="O4" s="227"/>
      <c r="P4" s="222">
        <f t="shared" si="0"/>
        <v>39.487793170949942</v>
      </c>
      <c r="Q4" s="23"/>
      <c r="R4" s="24"/>
      <c r="S4" s="22">
        <f>S5+S6</f>
        <v>43.120000000000005</v>
      </c>
      <c r="T4" s="23"/>
      <c r="U4" s="227"/>
      <c r="V4" s="322"/>
      <c r="W4" s="25"/>
      <c r="X4" s="26"/>
      <c r="Y4" s="263">
        <f>Y5+Y6</f>
        <v>45.69</v>
      </c>
    </row>
    <row r="5" spans="1:29" x14ac:dyDescent="0.35">
      <c r="A5" s="19"/>
      <c r="B5" s="27"/>
      <c r="C5" s="28" t="s">
        <v>51</v>
      </c>
      <c r="D5" s="29">
        <v>26.867025030323987</v>
      </c>
      <c r="E5" s="30">
        <v>3.2124832252047981</v>
      </c>
      <c r="F5" s="31">
        <v>3.3712943890979137</v>
      </c>
      <c r="G5" s="29">
        <v>25.514258018527244</v>
      </c>
      <c r="H5" s="30">
        <v>4.4559498800293218</v>
      </c>
      <c r="I5" s="228">
        <v>4.6762326136930072</v>
      </c>
      <c r="J5" s="223">
        <v>22.237142451097256</v>
      </c>
      <c r="K5" s="30">
        <v>5.6853606159445542</v>
      </c>
      <c r="L5" s="31">
        <v>5.9664200560332024</v>
      </c>
      <c r="M5" s="29">
        <v>19.930725332709169</v>
      </c>
      <c r="N5" s="30">
        <v>16.837833333333332</v>
      </c>
      <c r="O5" s="228">
        <v>2.4390254291602509</v>
      </c>
      <c r="P5" s="223">
        <v>18.746736103002359</v>
      </c>
      <c r="Q5" s="30">
        <v>5.0732631921344966</v>
      </c>
      <c r="R5" s="31">
        <v>3.2233976481325373</v>
      </c>
      <c r="S5" s="29">
        <v>20.39</v>
      </c>
      <c r="T5" s="30">
        <v>4.6096471876321017</v>
      </c>
      <c r="U5" s="228">
        <v>1.5596802170081383</v>
      </c>
      <c r="V5" s="321">
        <v>0.63864148004136445</v>
      </c>
      <c r="W5" s="32"/>
      <c r="X5" s="17"/>
      <c r="Y5" s="262">
        <v>20.53</v>
      </c>
    </row>
    <row r="6" spans="1:29" x14ac:dyDescent="0.35">
      <c r="A6" s="19"/>
      <c r="B6" s="27"/>
      <c r="C6" s="33" t="s">
        <v>52</v>
      </c>
      <c r="D6" s="29">
        <v>37.377804560329707</v>
      </c>
      <c r="E6" s="30">
        <v>5.6287057667531721</v>
      </c>
      <c r="F6" s="31">
        <v>5.906964438118834</v>
      </c>
      <c r="G6" s="29">
        <v>35.161334910347485</v>
      </c>
      <c r="H6" s="30">
        <v>4.2060077613918887</v>
      </c>
      <c r="I6" s="228">
        <v>4.4139344464837746</v>
      </c>
      <c r="J6" s="223">
        <v>18.802330027172715</v>
      </c>
      <c r="K6" s="30">
        <v>7.8163571321087142</v>
      </c>
      <c r="L6" s="31">
        <v>8.2027637485900513</v>
      </c>
      <c r="M6" s="29">
        <v>17.461218760235933</v>
      </c>
      <c r="N6" s="30">
        <v>14.75155</v>
      </c>
      <c r="O6" s="228">
        <v>6.2870603489263504</v>
      </c>
      <c r="P6" s="223">
        <v>20.741057067947587</v>
      </c>
      <c r="Q6" s="30">
        <v>5.3359305404672437</v>
      </c>
      <c r="R6" s="31">
        <v>3.3902885191146832</v>
      </c>
      <c r="S6" s="232">
        <v>22.73</v>
      </c>
      <c r="T6" s="30">
        <v>6.2443953902395721</v>
      </c>
      <c r="U6" s="228">
        <v>2.1127994314758762</v>
      </c>
      <c r="V6" s="321">
        <v>0.16765241267983561</v>
      </c>
      <c r="W6" s="32"/>
      <c r="X6" s="17"/>
      <c r="Y6" s="262">
        <v>25.16</v>
      </c>
    </row>
    <row r="7" spans="1:29" x14ac:dyDescent="0.35">
      <c r="A7" s="19"/>
      <c r="B7" s="20" t="s">
        <v>54</v>
      </c>
      <c r="C7" s="21"/>
      <c r="D7" s="22">
        <f>D8+D9+D10</f>
        <v>19.13290779844905</v>
      </c>
      <c r="E7" s="23"/>
      <c r="F7" s="24"/>
      <c r="G7" s="22">
        <f>G8+G9+G10</f>
        <v>13.199546388504752</v>
      </c>
      <c r="H7" s="23"/>
      <c r="I7" s="227"/>
      <c r="J7" s="222">
        <f>J8+J9+J10</f>
        <v>7.1743068026328167</v>
      </c>
      <c r="K7" s="23"/>
      <c r="L7" s="24"/>
      <c r="M7" s="22">
        <f>M8+M9+M10</f>
        <v>9.4391048811470064</v>
      </c>
      <c r="N7" s="23"/>
      <c r="O7" s="227"/>
      <c r="P7" s="222">
        <f>P8+P9+P10</f>
        <v>3.9524668657805999</v>
      </c>
      <c r="Q7" s="23"/>
      <c r="R7" s="24"/>
      <c r="S7" s="22">
        <f>S8+S9+S10</f>
        <v>5.3520730152669289</v>
      </c>
      <c r="T7" s="23"/>
      <c r="U7" s="227"/>
      <c r="V7" s="322"/>
      <c r="W7" s="25"/>
      <c r="X7" s="26"/>
      <c r="Y7" s="263">
        <f>Y8+Y9+Y10</f>
        <v>6.07</v>
      </c>
    </row>
    <row r="8" spans="1:29" x14ac:dyDescent="0.35">
      <c r="A8" s="19"/>
      <c r="B8" s="34"/>
      <c r="C8" s="35" t="s">
        <v>55</v>
      </c>
      <c r="D8" s="29">
        <v>0.98000142218857378</v>
      </c>
      <c r="E8" s="30">
        <v>1.063517225478219</v>
      </c>
      <c r="F8" s="31">
        <v>1.1160928800601371</v>
      </c>
      <c r="G8" s="29">
        <v>0.29776423655029749</v>
      </c>
      <c r="H8" s="30">
        <v>0.19374212787639838</v>
      </c>
      <c r="I8" s="228">
        <v>0.2033198939427778</v>
      </c>
      <c r="J8" s="223">
        <v>0.11455078025273867</v>
      </c>
      <c r="K8" s="30">
        <v>6.4941467029935404E-2</v>
      </c>
      <c r="L8" s="31">
        <v>6.8151890008344249E-2</v>
      </c>
      <c r="M8" s="29">
        <v>0.38616526140258417</v>
      </c>
      <c r="N8" s="30">
        <v>0.32623932155388219</v>
      </c>
      <c r="O8" s="228">
        <v>0.53172985499485226</v>
      </c>
      <c r="P8" s="223">
        <v>2.557723511424188E-2</v>
      </c>
      <c r="Q8" s="30">
        <v>4.7051980711643661E-2</v>
      </c>
      <c r="R8" s="31">
        <v>2.9895402273044318E-2</v>
      </c>
      <c r="S8" s="29">
        <v>8.8078109799871115E-2</v>
      </c>
      <c r="T8" s="30">
        <v>0.52139644945934449</v>
      </c>
      <c r="U8" s="228">
        <v>0.1764151776348325</v>
      </c>
      <c r="V8" s="321">
        <v>0.38304011020236933</v>
      </c>
      <c r="W8" s="36">
        <v>4.9422686028467461E-3</v>
      </c>
      <c r="X8" s="17"/>
      <c r="Y8" s="262">
        <v>0.56999999999999995</v>
      </c>
      <c r="AC8" s="120"/>
    </row>
    <row r="9" spans="1:29" x14ac:dyDescent="0.35">
      <c r="A9" s="19"/>
      <c r="B9" s="34"/>
      <c r="C9" s="35" t="s">
        <v>57</v>
      </c>
      <c r="D9" s="29">
        <v>3.5156941386932758</v>
      </c>
      <c r="E9" s="30">
        <v>2.7985431699736112</v>
      </c>
      <c r="F9" s="31">
        <v>2.9368909423577945</v>
      </c>
      <c r="G9" s="29">
        <v>1.978304974567213</v>
      </c>
      <c r="H9" s="30">
        <v>2.6348334334872519</v>
      </c>
      <c r="I9" s="228">
        <v>2.7650881102910287</v>
      </c>
      <c r="J9" s="223">
        <v>2.0472446325506461</v>
      </c>
      <c r="K9" s="30">
        <v>3.7155996226121499</v>
      </c>
      <c r="L9" s="31">
        <v>3.899282667553261</v>
      </c>
      <c r="M9" s="29">
        <v>0.1755802463312893</v>
      </c>
      <c r="N9" s="30">
        <v>0.14833333333333334</v>
      </c>
      <c r="O9" s="228">
        <v>0.22265326933754168</v>
      </c>
      <c r="P9" s="223">
        <v>1.391991834102009</v>
      </c>
      <c r="Q9" s="30">
        <v>3.0890949546572517</v>
      </c>
      <c r="R9" s="31">
        <v>1.9627172954752337</v>
      </c>
      <c r="S9" s="29">
        <v>1.5240897145855388</v>
      </c>
      <c r="T9" s="30">
        <v>2.8722491860812456</v>
      </c>
      <c r="U9" s="228">
        <v>0.97182930742902218</v>
      </c>
      <c r="V9" s="321">
        <v>0.90102579171215358</v>
      </c>
      <c r="W9" s="37">
        <v>0.12385160694435249</v>
      </c>
      <c r="X9" s="17"/>
      <c r="Y9" s="262">
        <v>0.7</v>
      </c>
    </row>
    <row r="10" spans="1:29" x14ac:dyDescent="0.35">
      <c r="A10" s="19"/>
      <c r="B10" s="34"/>
      <c r="C10" s="35" t="s">
        <v>58</v>
      </c>
      <c r="D10" s="29">
        <v>14.637212237567201</v>
      </c>
      <c r="E10" s="30">
        <v>6.0669939936392128</v>
      </c>
      <c r="F10" s="31">
        <v>6.3669197239598629</v>
      </c>
      <c r="G10" s="29">
        <v>10.923477177387241</v>
      </c>
      <c r="H10" s="30">
        <v>2.7692164136723116</v>
      </c>
      <c r="I10" s="228">
        <v>2.9061143990926657</v>
      </c>
      <c r="J10" s="223">
        <v>5.0125113898294318</v>
      </c>
      <c r="K10" s="30">
        <v>3.1624818396368171</v>
      </c>
      <c r="L10" s="31">
        <v>3.3188211530386935</v>
      </c>
      <c r="M10" s="29">
        <v>8.8773593734131335</v>
      </c>
      <c r="N10" s="30">
        <v>7.4997520197784295</v>
      </c>
      <c r="O10" s="228">
        <v>3.9943463435331972</v>
      </c>
      <c r="P10" s="223">
        <v>2.5348977965643491</v>
      </c>
      <c r="Q10" s="30">
        <v>2.1857905296766904</v>
      </c>
      <c r="R10" s="31">
        <v>1.3887850454109518</v>
      </c>
      <c r="S10" s="29">
        <v>3.7399051908815193</v>
      </c>
      <c r="T10" s="30">
        <v>4.3258048922159098</v>
      </c>
      <c r="U10" s="228">
        <v>1.4636418012919405</v>
      </c>
      <c r="V10" s="321">
        <v>2.016072157016879E-2</v>
      </c>
      <c r="W10" s="36">
        <v>2.5781324284814781E-3</v>
      </c>
      <c r="X10" s="17" t="s">
        <v>53</v>
      </c>
      <c r="Y10" s="262">
        <v>4.8</v>
      </c>
      <c r="AC10" s="120"/>
    </row>
    <row r="11" spans="1:29" ht="15" thickBot="1" x14ac:dyDescent="0.4">
      <c r="A11" s="38"/>
      <c r="B11" s="39" t="s">
        <v>59</v>
      </c>
      <c r="C11" s="40"/>
      <c r="D11" s="41">
        <v>3.8634193122192944</v>
      </c>
      <c r="E11" s="42">
        <v>2.4146797579251236</v>
      </c>
      <c r="F11" s="43">
        <v>2.5340509969020331</v>
      </c>
      <c r="G11" s="41">
        <v>1.4051002022332761</v>
      </c>
      <c r="H11" s="42">
        <v>0.68283687758416278</v>
      </c>
      <c r="I11" s="44">
        <v>0.7165933555721119</v>
      </c>
      <c r="J11" s="224">
        <v>1.3392306412733517</v>
      </c>
      <c r="K11" s="42">
        <v>0.95497347258095777</v>
      </c>
      <c r="L11" s="43">
        <v>1.0021831972816879</v>
      </c>
      <c r="M11" s="41">
        <v>1.5437251994857739</v>
      </c>
      <c r="N11" s="42">
        <v>1.3041666666666667</v>
      </c>
      <c r="O11" s="44">
        <v>1.2175028102662115</v>
      </c>
      <c r="P11" s="224">
        <v>2.6220797699308669</v>
      </c>
      <c r="Q11" s="42">
        <v>2.7404410112952418</v>
      </c>
      <c r="R11" s="43">
        <v>1.7411931484947192</v>
      </c>
      <c r="S11" s="41">
        <v>2.6717180546339523</v>
      </c>
      <c r="T11" s="42">
        <v>2.0614771078814931</v>
      </c>
      <c r="U11" s="44">
        <v>0.69750350343613476</v>
      </c>
      <c r="V11" s="323">
        <v>0.6864586671172257</v>
      </c>
      <c r="W11" s="45">
        <v>0.88813831204106797</v>
      </c>
      <c r="X11" s="46"/>
      <c r="Y11" s="264">
        <v>0.96</v>
      </c>
      <c r="AC11" s="120"/>
    </row>
    <row r="12" spans="1:29" ht="15" thickTop="1" x14ac:dyDescent="0.35">
      <c r="A12" s="109" t="s">
        <v>60</v>
      </c>
      <c r="B12" s="110"/>
      <c r="C12" s="47"/>
      <c r="D12" s="48">
        <v>87.241156701322026</v>
      </c>
      <c r="E12" s="49">
        <v>9.3213737358042064</v>
      </c>
      <c r="F12" s="50">
        <v>9.7821818111433121</v>
      </c>
      <c r="G12" s="48">
        <v>75.280239519612749</v>
      </c>
      <c r="H12" s="49">
        <v>6.5055208194651124</v>
      </c>
      <c r="I12" s="229">
        <v>6.8271254040320208</v>
      </c>
      <c r="J12" s="225">
        <v>49.553009922176145</v>
      </c>
      <c r="K12" s="49">
        <v>6.5782410808878371</v>
      </c>
      <c r="L12" s="50">
        <v>6.9034406381115812</v>
      </c>
      <c r="M12" s="48">
        <v>48.374774173577883</v>
      </c>
      <c r="N12" s="49">
        <v>31.915622654887216</v>
      </c>
      <c r="O12" s="229">
        <v>6.728660817069624</v>
      </c>
      <c r="P12" s="225">
        <v>46.062339806661406</v>
      </c>
      <c r="Q12" s="49">
        <v>5.162406801759948</v>
      </c>
      <c r="R12" s="50">
        <v>3.2800367955077854</v>
      </c>
      <c r="S12" s="48">
        <v>51.137782064535443</v>
      </c>
      <c r="T12" s="49">
        <v>7.1938279565507282</v>
      </c>
      <c r="U12" s="229">
        <v>2.4340411948437666</v>
      </c>
      <c r="V12" s="324">
        <v>0.13531430906262201</v>
      </c>
      <c r="W12" s="51">
        <v>9.0151202406647431E-3</v>
      </c>
      <c r="X12" s="52"/>
      <c r="Y12" s="265">
        <v>52.71</v>
      </c>
    </row>
    <row r="13" spans="1:29" x14ac:dyDescent="0.35">
      <c r="A13" s="53" t="s">
        <v>61</v>
      </c>
      <c r="B13" s="54"/>
      <c r="C13" s="54"/>
      <c r="D13" s="29"/>
      <c r="E13" s="30"/>
      <c r="F13" s="31"/>
      <c r="G13" s="29"/>
      <c r="H13" s="30"/>
      <c r="I13" s="228"/>
      <c r="J13" s="223"/>
      <c r="K13" s="30"/>
      <c r="L13" s="31"/>
      <c r="M13" s="29"/>
      <c r="N13" s="30"/>
      <c r="O13" s="228"/>
      <c r="P13" s="223"/>
      <c r="Q13" s="30"/>
      <c r="R13" s="31"/>
      <c r="S13" s="29"/>
      <c r="T13" s="30"/>
      <c r="U13" s="228"/>
      <c r="V13" s="321"/>
      <c r="W13" s="37"/>
      <c r="X13" s="17"/>
      <c r="Y13" s="262"/>
    </row>
    <row r="14" spans="1:29" x14ac:dyDescent="0.35">
      <c r="A14" s="19"/>
      <c r="B14" s="55" t="s">
        <v>62</v>
      </c>
      <c r="C14" s="56"/>
      <c r="D14" s="29">
        <v>3.109427608881393</v>
      </c>
      <c r="E14" s="30">
        <v>0.2338797297757991</v>
      </c>
      <c r="F14" s="31">
        <v>0.24544172387596569</v>
      </c>
      <c r="G14" s="29">
        <v>2.4379320963810893</v>
      </c>
      <c r="H14" s="30">
        <v>0.24073340025846104</v>
      </c>
      <c r="I14" s="228">
        <v>0.25263420994457431</v>
      </c>
      <c r="J14" s="223">
        <v>2.5873927775781764</v>
      </c>
      <c r="K14" s="30">
        <v>0.27824935110236648</v>
      </c>
      <c r="L14" s="31">
        <v>0.29200478582475448</v>
      </c>
      <c r="M14" s="29">
        <v>2.3566814681172086</v>
      </c>
      <c r="N14" s="30">
        <v>1.990966666666667</v>
      </c>
      <c r="O14" s="228">
        <v>0.49000325595059491</v>
      </c>
      <c r="P14" s="223">
        <v>2.0110691352459908</v>
      </c>
      <c r="Q14" s="30">
        <v>1.0156834697699326</v>
      </c>
      <c r="R14" s="31">
        <v>0.64533448861462117</v>
      </c>
      <c r="S14" s="29">
        <v>2.1982720476074431</v>
      </c>
      <c r="T14" s="30">
        <v>0.67695671572792182</v>
      </c>
      <c r="U14" s="228">
        <v>0.22904919928026138</v>
      </c>
      <c r="V14" s="321">
        <v>0.51131822278349981</v>
      </c>
      <c r="W14" s="37">
        <v>8.1706442663156367E-2</v>
      </c>
      <c r="X14" s="17"/>
      <c r="Y14" s="262">
        <v>2.09</v>
      </c>
    </row>
    <row r="15" spans="1:29" x14ac:dyDescent="0.35">
      <c r="A15" s="19"/>
      <c r="B15" s="57" t="s">
        <v>63</v>
      </c>
      <c r="C15" s="58"/>
      <c r="D15" s="29">
        <v>10.395943386196917</v>
      </c>
      <c r="E15" s="30">
        <v>1.2310109604395179</v>
      </c>
      <c r="F15" s="31">
        <v>1.2918667749878159</v>
      </c>
      <c r="G15" s="29">
        <v>9.1572295525730834</v>
      </c>
      <c r="H15" s="30">
        <v>1.0107314941829659</v>
      </c>
      <c r="I15" s="228">
        <v>1.0606976523609255</v>
      </c>
      <c r="J15" s="223">
        <v>7.8349510005154652</v>
      </c>
      <c r="K15" s="30">
        <v>1.8214573262607319</v>
      </c>
      <c r="L15" s="31">
        <v>1.9115022347276602</v>
      </c>
      <c r="M15" s="29">
        <v>7.9583818102001223</v>
      </c>
      <c r="N15" s="30">
        <v>6.7233833333333335</v>
      </c>
      <c r="O15" s="228">
        <v>3.2363469117643122</v>
      </c>
      <c r="P15" s="223">
        <v>6.0221354141529444</v>
      </c>
      <c r="Q15" s="30">
        <v>1.4899399239088909</v>
      </c>
      <c r="R15" s="31">
        <v>0.94666266359542872</v>
      </c>
      <c r="S15" s="29">
        <v>6.7316631585256053</v>
      </c>
      <c r="T15" s="30">
        <v>1.9182463900213313</v>
      </c>
      <c r="U15" s="228">
        <v>0.64904120078665084</v>
      </c>
      <c r="V15" s="321">
        <v>0.25622668592944065</v>
      </c>
      <c r="W15" s="37">
        <v>0.51489123886963695</v>
      </c>
      <c r="X15" s="17"/>
      <c r="Y15" s="262">
        <v>6.55</v>
      </c>
    </row>
    <row r="16" spans="1:29" x14ac:dyDescent="0.35">
      <c r="A16" s="19"/>
      <c r="B16" s="317" t="s">
        <v>64</v>
      </c>
      <c r="C16" s="318"/>
      <c r="D16" s="29"/>
      <c r="E16" s="30"/>
      <c r="F16" s="31"/>
      <c r="G16" s="29"/>
      <c r="H16" s="30"/>
      <c r="I16" s="228"/>
      <c r="J16" s="223"/>
      <c r="K16" s="30"/>
      <c r="L16" s="31"/>
      <c r="M16" s="29"/>
      <c r="N16" s="30"/>
      <c r="O16" s="228"/>
      <c r="P16" s="223"/>
      <c r="Q16" s="30"/>
      <c r="R16" s="31"/>
      <c r="S16" s="29"/>
      <c r="T16" s="30"/>
      <c r="U16" s="228"/>
      <c r="V16" s="321"/>
      <c r="W16" s="37"/>
      <c r="X16" s="17"/>
      <c r="Y16" s="262"/>
    </row>
    <row r="17" spans="1:25" x14ac:dyDescent="0.35">
      <c r="A17" s="19"/>
      <c r="B17" s="59"/>
      <c r="C17" s="60" t="s">
        <v>65</v>
      </c>
      <c r="D17" s="29">
        <v>3.5459759581410792</v>
      </c>
      <c r="E17" s="30">
        <v>1.5684929514948063</v>
      </c>
      <c r="F17" s="31">
        <v>1.6460324042242935</v>
      </c>
      <c r="G17" s="29">
        <v>3.2567880620916254</v>
      </c>
      <c r="H17" s="30">
        <v>2.3044956365523643</v>
      </c>
      <c r="I17" s="228">
        <v>2.4184198529828347</v>
      </c>
      <c r="J17" s="223">
        <v>3.4916506700920449</v>
      </c>
      <c r="K17" s="30">
        <v>1.7476702603434353</v>
      </c>
      <c r="L17" s="31">
        <v>1.834067457990695</v>
      </c>
      <c r="M17" s="29">
        <v>3.4326924563645322</v>
      </c>
      <c r="N17" s="30">
        <v>2.9</v>
      </c>
      <c r="O17" s="228">
        <v>1.4983917379435054</v>
      </c>
      <c r="P17" s="223">
        <v>2.207807260265116</v>
      </c>
      <c r="Q17" s="30">
        <v>0.85783876933061654</v>
      </c>
      <c r="R17" s="31">
        <v>0.54504475064969438</v>
      </c>
      <c r="S17" s="29">
        <v>2.4938047132391867</v>
      </c>
      <c r="T17" s="30">
        <v>1.6124553533870831</v>
      </c>
      <c r="U17" s="228">
        <v>0.54557639947680459</v>
      </c>
      <c r="V17" s="321">
        <v>0.60365013689900837</v>
      </c>
      <c r="W17" s="37">
        <v>2.8601802495163319E-2</v>
      </c>
      <c r="X17" s="17"/>
      <c r="Y17" s="262">
        <v>7.04</v>
      </c>
    </row>
    <row r="18" spans="1:25" ht="15" thickBot="1" x14ac:dyDescent="0.4">
      <c r="A18" s="38"/>
      <c r="B18" s="61"/>
      <c r="C18" s="62" t="s">
        <v>66</v>
      </c>
      <c r="D18" s="231">
        <v>3.4455569037824292</v>
      </c>
      <c r="E18" s="42">
        <v>0.25737332558410325</v>
      </c>
      <c r="F18" s="43">
        <v>0.27009674062651096</v>
      </c>
      <c r="G18" s="41">
        <v>0</v>
      </c>
      <c r="H18" s="42">
        <v>0</v>
      </c>
      <c r="I18" s="44">
        <v>0</v>
      </c>
      <c r="J18" s="224">
        <v>0</v>
      </c>
      <c r="K18" s="42">
        <v>0</v>
      </c>
      <c r="L18" s="43"/>
      <c r="M18" s="41">
        <v>0</v>
      </c>
      <c r="N18" s="42">
        <v>0</v>
      </c>
      <c r="O18" s="44">
        <v>0</v>
      </c>
      <c r="P18" s="224">
        <v>0</v>
      </c>
      <c r="Q18" s="42">
        <v>0</v>
      </c>
      <c r="R18" s="43">
        <v>0</v>
      </c>
      <c r="S18" s="41">
        <v>0.11906904281011146</v>
      </c>
      <c r="T18" s="42">
        <v>0.69631076912251444</v>
      </c>
      <c r="U18" s="44">
        <v>0.23559766882028521</v>
      </c>
      <c r="V18" s="323">
        <v>1.1846493326875125E-22</v>
      </c>
      <c r="W18" s="45">
        <v>6.1085058845194939E-2</v>
      </c>
      <c r="X18" s="46" t="s">
        <v>56</v>
      </c>
      <c r="Y18" s="264">
        <v>0.06</v>
      </c>
    </row>
    <row r="19" spans="1:25" ht="15" thickTop="1" x14ac:dyDescent="0.35">
      <c r="A19" s="109" t="s">
        <v>67</v>
      </c>
      <c r="B19" s="110"/>
      <c r="C19" s="47"/>
      <c r="D19" s="48">
        <f>D14+D15+D16+D17+D18</f>
        <v>20.496903857001818</v>
      </c>
      <c r="E19" s="49">
        <v>2.6483923943907244</v>
      </c>
      <c r="F19" s="50">
        <v>2.7793173671030886</v>
      </c>
      <c r="G19" s="48">
        <v>14.851949711045796</v>
      </c>
      <c r="H19" s="49">
        <v>2.0032124056680147</v>
      </c>
      <c r="I19" s="229">
        <v>2.1022424927897876</v>
      </c>
      <c r="J19" s="225">
        <v>13.913994448185687</v>
      </c>
      <c r="K19" s="49">
        <v>1.93520975147973</v>
      </c>
      <c r="L19" s="50">
        <v>2.0308780838770795</v>
      </c>
      <c r="M19" s="48">
        <v>13.747755734681862</v>
      </c>
      <c r="N19" s="49">
        <v>11.61435</v>
      </c>
      <c r="O19" s="229">
        <v>3.1610449221236743</v>
      </c>
      <c r="P19" s="225">
        <v>10.241011809664052</v>
      </c>
      <c r="Q19" s="49">
        <v>2.2540888269177453</v>
      </c>
      <c r="R19" s="50">
        <v>1.432179713174216</v>
      </c>
      <c r="S19" s="48">
        <v>11.542808962182349</v>
      </c>
      <c r="T19" s="49">
        <v>2.7111061922353308</v>
      </c>
      <c r="U19" s="229">
        <v>0.91730636253092435</v>
      </c>
      <c r="V19" s="324">
        <v>6.6152405740316625E-2</v>
      </c>
      <c r="W19" s="51">
        <v>0.25796413929939366</v>
      </c>
      <c r="X19" s="52"/>
      <c r="Y19" s="265">
        <v>15.75</v>
      </c>
    </row>
    <row r="20" spans="1:25" x14ac:dyDescent="0.35">
      <c r="A20" s="63" t="s">
        <v>68</v>
      </c>
      <c r="B20" s="64"/>
      <c r="C20" s="64"/>
      <c r="D20" s="29"/>
      <c r="E20" s="30"/>
      <c r="F20" s="31"/>
      <c r="G20" s="29"/>
      <c r="H20" s="30"/>
      <c r="I20" s="228"/>
      <c r="J20" s="223"/>
      <c r="K20" s="30"/>
      <c r="L20" s="31"/>
      <c r="M20" s="29"/>
      <c r="N20" s="30"/>
      <c r="O20" s="228"/>
      <c r="P20" s="223"/>
      <c r="Q20" s="30"/>
      <c r="R20" s="31"/>
      <c r="S20" s="29"/>
      <c r="T20" s="30"/>
      <c r="U20" s="228"/>
      <c r="V20" s="321"/>
      <c r="W20" s="37"/>
      <c r="X20" s="17"/>
      <c r="Y20" s="262"/>
    </row>
    <row r="21" spans="1:25" x14ac:dyDescent="0.35">
      <c r="A21" s="19"/>
      <c r="B21" s="65" t="s">
        <v>69</v>
      </c>
      <c r="C21" s="66"/>
      <c r="D21" s="29"/>
      <c r="E21" s="30"/>
      <c r="F21" s="31"/>
      <c r="G21" s="29"/>
      <c r="H21" s="30"/>
      <c r="I21" s="228"/>
      <c r="J21" s="223"/>
      <c r="K21" s="30"/>
      <c r="L21" s="31"/>
      <c r="M21" s="29"/>
      <c r="N21" s="30"/>
      <c r="O21" s="228"/>
      <c r="P21" s="223"/>
      <c r="Q21" s="30"/>
      <c r="R21" s="31"/>
      <c r="S21" s="29"/>
      <c r="T21" s="30"/>
      <c r="U21" s="228"/>
      <c r="V21" s="321"/>
      <c r="W21" s="37"/>
      <c r="X21" s="17"/>
      <c r="Y21" s="262"/>
    </row>
    <row r="22" spans="1:25" x14ac:dyDescent="0.35">
      <c r="A22" s="19"/>
      <c r="B22" s="67"/>
      <c r="C22" s="68" t="s">
        <v>70</v>
      </c>
      <c r="D22" s="29">
        <v>1.4911442959442893</v>
      </c>
      <c r="E22" s="30">
        <v>0.24936363452240246</v>
      </c>
      <c r="F22" s="31">
        <v>0.26169108536180591</v>
      </c>
      <c r="G22" s="29">
        <v>1.4301438083469629</v>
      </c>
      <c r="H22" s="30">
        <v>0.28906770640956914</v>
      </c>
      <c r="I22" s="228">
        <v>0.30335795344919081</v>
      </c>
      <c r="J22" s="223">
        <v>1.0369694477814206</v>
      </c>
      <c r="K22" s="30">
        <v>0.26604615305535878</v>
      </c>
      <c r="L22" s="31">
        <v>0.27919831487351549</v>
      </c>
      <c r="M22" s="29">
        <v>0.70113729827123839</v>
      </c>
      <c r="N22" s="30">
        <v>0.59233333333333327</v>
      </c>
      <c r="O22" s="228">
        <v>0.18363791033141746</v>
      </c>
      <c r="P22" s="223">
        <v>1.0583072898423616</v>
      </c>
      <c r="Q22" s="30">
        <v>0.86615871332375716</v>
      </c>
      <c r="R22" s="31">
        <v>0.55033099086322468</v>
      </c>
      <c r="S22" s="29">
        <v>1.1254591916811136</v>
      </c>
      <c r="T22" s="30">
        <v>0.54966052584557989</v>
      </c>
      <c r="U22" s="228">
        <v>0.18597836522756078</v>
      </c>
      <c r="V22" s="321">
        <v>0.92802734426667888</v>
      </c>
      <c r="W22" s="37">
        <v>0.16610718159440735</v>
      </c>
      <c r="X22" s="17"/>
      <c r="Y22" s="262">
        <v>0.93</v>
      </c>
    </row>
    <row r="23" spans="1:25" x14ac:dyDescent="0.35">
      <c r="A23" s="19"/>
      <c r="B23" s="69"/>
      <c r="C23" s="70" t="s">
        <v>71</v>
      </c>
      <c r="D23" s="29">
        <v>8.239846983135017</v>
      </c>
      <c r="E23" s="30">
        <v>0.94539850504077716</v>
      </c>
      <c r="F23" s="31">
        <v>0.99213488509417525</v>
      </c>
      <c r="G23" s="29">
        <v>9.7146806374857846</v>
      </c>
      <c r="H23" s="30">
        <v>0.49111494468086447</v>
      </c>
      <c r="I23" s="228">
        <v>0.51539352623364409</v>
      </c>
      <c r="J23" s="223">
        <v>6.7146338499905855</v>
      </c>
      <c r="K23" s="30">
        <v>0.55728508563092338</v>
      </c>
      <c r="L23" s="31">
        <v>0.58483483044357665</v>
      </c>
      <c r="M23" s="29">
        <v>5.6126494473316635</v>
      </c>
      <c r="N23" s="30">
        <v>4.7416666666666671</v>
      </c>
      <c r="O23" s="228">
        <v>1.1622772793534877</v>
      </c>
      <c r="P23" s="223">
        <v>5.8488250527586523</v>
      </c>
      <c r="Q23" s="30">
        <v>1.4691628261435916</v>
      </c>
      <c r="R23" s="31">
        <v>0.93346152548465244</v>
      </c>
      <c r="S23" s="29">
        <v>6.3897781777058578</v>
      </c>
      <c r="T23" s="30">
        <v>1.1694145690958302</v>
      </c>
      <c r="U23" s="228">
        <v>0.39567296468881741</v>
      </c>
      <c r="V23" s="321">
        <v>0.1842171102433483</v>
      </c>
      <c r="W23" s="37">
        <v>0.82402445069144581</v>
      </c>
      <c r="X23" s="17"/>
      <c r="Y23" s="262">
        <v>6.9</v>
      </c>
    </row>
    <row r="24" spans="1:25" x14ac:dyDescent="0.35">
      <c r="A24" s="19"/>
      <c r="B24" s="71" t="s">
        <v>72</v>
      </c>
      <c r="C24" s="72"/>
      <c r="D24" s="29">
        <v>0.90320562546250205</v>
      </c>
      <c r="E24" s="30">
        <v>0.57236655407371806</v>
      </c>
      <c r="F24" s="31">
        <v>0.60066186092941198</v>
      </c>
      <c r="G24" s="29">
        <v>1.3694235566523254</v>
      </c>
      <c r="H24" s="30">
        <v>0.4233944837723902</v>
      </c>
      <c r="I24" s="228">
        <v>0.44432526100610836</v>
      </c>
      <c r="J24" s="223">
        <v>0.42710820819511974</v>
      </c>
      <c r="K24" s="30">
        <v>0.30581403208849373</v>
      </c>
      <c r="L24" s="31">
        <v>0.32093214445395957</v>
      </c>
      <c r="M24" s="29">
        <v>0.68653849127290656</v>
      </c>
      <c r="N24" s="30">
        <v>0.58000000000000007</v>
      </c>
      <c r="O24" s="228">
        <v>0.52064418938798862</v>
      </c>
      <c r="P24" s="223">
        <v>1.283780454772524</v>
      </c>
      <c r="Q24" s="30">
        <v>0.82079356925681002</v>
      </c>
      <c r="R24" s="31">
        <v>0.52150735346169896</v>
      </c>
      <c r="S24" s="29">
        <v>1.2906136229312379</v>
      </c>
      <c r="T24" s="30">
        <v>0.66916350663429891</v>
      </c>
      <c r="U24" s="228">
        <v>0.22641235668568194</v>
      </c>
      <c r="V24" s="321">
        <v>0.15910602217164349</v>
      </c>
      <c r="W24" s="37">
        <v>1.027773874182878E-2</v>
      </c>
      <c r="X24" s="17"/>
      <c r="Y24" s="262">
        <v>1.1100000000000001</v>
      </c>
    </row>
    <row r="25" spans="1:25" ht="15" thickBot="1" x14ac:dyDescent="0.4">
      <c r="A25" s="38"/>
      <c r="B25" s="39" t="s">
        <v>73</v>
      </c>
      <c r="C25" s="40"/>
      <c r="D25" s="41">
        <v>1.7533226586538433</v>
      </c>
      <c r="E25" s="42">
        <v>1.4891739219418485</v>
      </c>
      <c r="F25" s="43">
        <v>1.5627921876894568</v>
      </c>
      <c r="G25" s="41">
        <v>0.26473470105205676</v>
      </c>
      <c r="H25" s="42">
        <v>7.8885495427796368E-2</v>
      </c>
      <c r="I25" s="44">
        <v>8.2785250372781241E-2</v>
      </c>
      <c r="J25" s="224">
        <v>0.26591592769840394</v>
      </c>
      <c r="K25" s="42">
        <v>0.20288618867620234</v>
      </c>
      <c r="L25" s="43">
        <v>0.21291599723946789</v>
      </c>
      <c r="M25" s="41">
        <v>0.29359384560699409</v>
      </c>
      <c r="N25" s="42">
        <v>0.24803333333333333</v>
      </c>
      <c r="O25" s="44">
        <v>0.22628974697942633</v>
      </c>
      <c r="P25" s="224">
        <v>0.55849860351571279</v>
      </c>
      <c r="Q25" s="42">
        <v>0.43187242224668876</v>
      </c>
      <c r="R25" s="43">
        <v>0.27439864588960461</v>
      </c>
      <c r="S25" s="41">
        <v>0.59787935487626109</v>
      </c>
      <c r="T25" s="42">
        <v>0.71885333390711015</v>
      </c>
      <c r="U25" s="44">
        <v>0.24322497540233604</v>
      </c>
      <c r="V25" s="323">
        <v>0.34118113630271579</v>
      </c>
      <c r="W25" s="45">
        <v>0.21728888405605573</v>
      </c>
      <c r="X25" s="46"/>
      <c r="Y25" s="264">
        <v>0.49</v>
      </c>
    </row>
    <row r="26" spans="1:25" ht="15" thickTop="1" x14ac:dyDescent="0.35">
      <c r="A26" s="109" t="s">
        <v>74</v>
      </c>
      <c r="B26" s="111"/>
      <c r="C26" s="47"/>
      <c r="D26" s="48">
        <v>12.4</v>
      </c>
      <c r="E26" s="49">
        <v>1.0743176414783737</v>
      </c>
      <c r="F26" s="50">
        <v>1.1274272215364021</v>
      </c>
      <c r="G26" s="48">
        <v>12.778982703537128</v>
      </c>
      <c r="H26" s="49">
        <v>0.76515476956552864</v>
      </c>
      <c r="I26" s="229">
        <v>0.80298068521846511</v>
      </c>
      <c r="J26" s="225">
        <v>8.4446274336655289</v>
      </c>
      <c r="K26" s="49">
        <v>0.9569619317866821</v>
      </c>
      <c r="L26" s="50">
        <v>1.0042699572406544</v>
      </c>
      <c r="M26" s="48">
        <v>7.2939190824828044</v>
      </c>
      <c r="N26" s="49">
        <v>6.1620333333333335</v>
      </c>
      <c r="O26" s="229">
        <v>1.4129091091836941</v>
      </c>
      <c r="P26" s="225">
        <v>8.749411400889251</v>
      </c>
      <c r="Q26" s="49">
        <v>2.006365164278566</v>
      </c>
      <c r="R26" s="50">
        <v>1.2747836070987597</v>
      </c>
      <c r="S26" s="48">
        <v>9.40373034719447</v>
      </c>
      <c r="T26" s="49">
        <v>1.5320674712883446</v>
      </c>
      <c r="U26" s="229">
        <v>0.51837705334615403</v>
      </c>
      <c r="V26" s="324">
        <v>0.34771128135549922</v>
      </c>
      <c r="W26" s="51">
        <v>0.1661182454999578</v>
      </c>
      <c r="X26" s="52"/>
      <c r="Y26" s="265">
        <v>9.43</v>
      </c>
    </row>
    <row r="27" spans="1:25" x14ac:dyDescent="0.35">
      <c r="A27" s="73" t="s">
        <v>75</v>
      </c>
      <c r="B27" s="64"/>
      <c r="C27" s="64"/>
      <c r="D27" s="29"/>
      <c r="E27" s="30"/>
      <c r="F27" s="31"/>
      <c r="G27" s="29"/>
      <c r="H27" s="30"/>
      <c r="I27" s="228"/>
      <c r="J27" s="223"/>
      <c r="K27" s="30"/>
      <c r="L27" s="31"/>
      <c r="M27" s="29"/>
      <c r="N27" s="30"/>
      <c r="O27" s="228"/>
      <c r="P27" s="223"/>
      <c r="Q27" s="30"/>
      <c r="R27" s="31"/>
      <c r="S27" s="29"/>
      <c r="T27" s="30"/>
      <c r="U27" s="228"/>
      <c r="V27" s="321"/>
      <c r="W27" s="37"/>
      <c r="X27" s="17"/>
      <c r="Y27" s="262"/>
    </row>
    <row r="28" spans="1:25" x14ac:dyDescent="0.35">
      <c r="A28" s="19"/>
      <c r="B28" s="74" t="s">
        <v>76</v>
      </c>
      <c r="C28" s="75"/>
      <c r="D28" s="29">
        <v>0.1058196332620181</v>
      </c>
      <c r="E28" s="30">
        <v>4.1029600595180064E-2</v>
      </c>
      <c r="F28" s="31">
        <v>4.3057925155279467E-2</v>
      </c>
      <c r="G28" s="29">
        <v>0.1382295130744276</v>
      </c>
      <c r="H28" s="30">
        <v>9.6363317133071377E-2</v>
      </c>
      <c r="I28" s="228">
        <v>0.10112709937804444</v>
      </c>
      <c r="J28" s="223">
        <v>8.9963773160791266E-2</v>
      </c>
      <c r="K28" s="30">
        <v>4.1809113838970555E-2</v>
      </c>
      <c r="L28" s="31">
        <v>4.3875974135084136E-2</v>
      </c>
      <c r="M28" s="29">
        <v>0.10509168227042449</v>
      </c>
      <c r="N28" s="30">
        <v>8.8783333333333325E-2</v>
      </c>
      <c r="O28" s="228">
        <v>4.2538206964354272E-2</v>
      </c>
      <c r="P28" s="223">
        <v>5.7450405025835566E-2</v>
      </c>
      <c r="Q28" s="30">
        <v>5.0843441617927032E-2</v>
      </c>
      <c r="R28" s="31">
        <v>3.2304381603595916E-2</v>
      </c>
      <c r="S28" s="29">
        <v>6.8041383462169217E-2</v>
      </c>
      <c r="T28" s="30">
        <v>5.9233598028624469E-2</v>
      </c>
      <c r="U28" s="228">
        <v>2.004176616278408E-2</v>
      </c>
      <c r="V28" s="321">
        <v>0.63424143779224895</v>
      </c>
      <c r="W28" s="37">
        <v>0.5983146633790104</v>
      </c>
      <c r="X28" s="17"/>
      <c r="Y28" s="262">
        <v>0.03</v>
      </c>
    </row>
    <row r="29" spans="1:25" x14ac:dyDescent="0.35">
      <c r="A29" s="19"/>
      <c r="B29" s="76" t="s">
        <v>77</v>
      </c>
      <c r="C29" s="77"/>
      <c r="D29" s="29">
        <v>0</v>
      </c>
      <c r="E29" s="30">
        <v>0</v>
      </c>
      <c r="F29" s="31">
        <v>0</v>
      </c>
      <c r="G29" s="29">
        <v>0</v>
      </c>
      <c r="H29" s="30">
        <v>0</v>
      </c>
      <c r="I29" s="228">
        <v>0</v>
      </c>
      <c r="J29" s="223">
        <v>0</v>
      </c>
      <c r="K29" s="30">
        <v>0</v>
      </c>
      <c r="L29" s="31">
        <v>0</v>
      </c>
      <c r="M29" s="29">
        <v>0</v>
      </c>
      <c r="N29" s="30">
        <v>0</v>
      </c>
      <c r="O29" s="228">
        <v>0</v>
      </c>
      <c r="P29" s="223">
        <v>1.3182113481955421E-2</v>
      </c>
      <c r="Q29" s="30">
        <v>2.5370039197622242E-2</v>
      </c>
      <c r="R29" s="31">
        <v>1.6119353872559312E-2</v>
      </c>
      <c r="S29" s="29">
        <v>1.197745056692116E-2</v>
      </c>
      <c r="T29" s="30">
        <v>1.5564580715184916E-2</v>
      </c>
      <c r="U29" s="228">
        <v>5.2662964516315518E-3</v>
      </c>
      <c r="V29" s="321">
        <v>0.43282012507703294</v>
      </c>
      <c r="W29" s="37">
        <v>0.27638462405329539</v>
      </c>
      <c r="X29" s="17"/>
      <c r="Y29" s="262">
        <v>0</v>
      </c>
    </row>
    <row r="30" spans="1:25" x14ac:dyDescent="0.35">
      <c r="A30" s="19"/>
      <c r="B30" s="71" t="s">
        <v>78</v>
      </c>
      <c r="C30" s="72"/>
      <c r="D30" s="29"/>
      <c r="E30" s="30"/>
      <c r="F30" s="31"/>
      <c r="G30" s="29"/>
      <c r="H30" s="30"/>
      <c r="I30" s="228"/>
      <c r="J30" s="223"/>
      <c r="K30" s="30"/>
      <c r="L30" s="31"/>
      <c r="M30" s="29"/>
      <c r="N30" s="30"/>
      <c r="O30" s="228"/>
      <c r="P30" s="223"/>
      <c r="Q30" s="30"/>
      <c r="R30" s="31"/>
      <c r="S30" s="29"/>
      <c r="T30" s="30"/>
      <c r="U30" s="228"/>
      <c r="V30" s="321"/>
      <c r="W30" s="37"/>
      <c r="X30" s="17"/>
      <c r="Y30" s="262"/>
    </row>
    <row r="31" spans="1:25" x14ac:dyDescent="0.35">
      <c r="A31" s="19"/>
      <c r="B31" s="78"/>
      <c r="C31" s="79" t="s">
        <v>79</v>
      </c>
      <c r="D31" s="29">
        <v>0.34324922909142935</v>
      </c>
      <c r="E31" s="30">
        <v>0.2890559346101258</v>
      </c>
      <c r="F31" s="31">
        <v>0.30334559970330927</v>
      </c>
      <c r="G31" s="29">
        <v>0.39706007905387208</v>
      </c>
      <c r="H31" s="30">
        <v>0.38783834690929331</v>
      </c>
      <c r="I31" s="228">
        <v>0.40701138376495505</v>
      </c>
      <c r="J31" s="223">
        <v>0.37523452514860317</v>
      </c>
      <c r="K31" s="30">
        <v>0.64994768592782681</v>
      </c>
      <c r="L31" s="31">
        <v>0.68207826568058327</v>
      </c>
      <c r="M31" s="29">
        <v>0.17498817466004399</v>
      </c>
      <c r="N31" s="30">
        <v>0.14783314059295896</v>
      </c>
      <c r="O31" s="228">
        <v>0.28005156513434026</v>
      </c>
      <c r="P31" s="223">
        <v>0.32424393205400459</v>
      </c>
      <c r="Q31" s="30">
        <v>0.48428053033413887</v>
      </c>
      <c r="R31" s="31">
        <v>0.30769716913871809</v>
      </c>
      <c r="S31" s="29">
        <v>0.33917590942708464</v>
      </c>
      <c r="T31" s="30">
        <v>0.44996957294569667</v>
      </c>
      <c r="U31" s="228">
        <v>0.15224779958474668</v>
      </c>
      <c r="V31" s="321">
        <v>0.97998967794305702</v>
      </c>
      <c r="W31" s="37">
        <v>0.57764865168394608</v>
      </c>
      <c r="X31" s="17"/>
      <c r="Y31" s="262">
        <v>1.72</v>
      </c>
    </row>
    <row r="32" spans="1:25" ht="15" thickBot="1" x14ac:dyDescent="0.4">
      <c r="A32" s="38"/>
      <c r="B32" s="61"/>
      <c r="C32" s="62" t="s">
        <v>80</v>
      </c>
      <c r="D32" s="41">
        <v>0.30987913117767979</v>
      </c>
      <c r="E32" s="42">
        <v>0.15211503897439335</v>
      </c>
      <c r="F32" s="43">
        <v>0.15963494326389516</v>
      </c>
      <c r="G32" s="41">
        <v>3.8340177967781686</v>
      </c>
      <c r="H32" s="42">
        <v>1.9659738528013426</v>
      </c>
      <c r="I32" s="44">
        <v>2.0631630282333511</v>
      </c>
      <c r="J32" s="224">
        <v>0.14620242511294496</v>
      </c>
      <c r="K32" s="42">
        <v>0.12299819330199756</v>
      </c>
      <c r="L32" s="43">
        <v>0.1290786876939318</v>
      </c>
      <c r="M32" s="41">
        <v>1.0488132096405813</v>
      </c>
      <c r="N32" s="42">
        <v>0.88605616338228999</v>
      </c>
      <c r="O32" s="44">
        <v>0.61163805866587984</v>
      </c>
      <c r="P32" s="224">
        <v>2.1328105494664786</v>
      </c>
      <c r="Q32" s="42">
        <v>2.0431827006977734</v>
      </c>
      <c r="R32" s="43">
        <v>1.2981763537017159</v>
      </c>
      <c r="S32" s="41">
        <v>2.1429562024723481</v>
      </c>
      <c r="T32" s="42">
        <v>1.6751401287329228</v>
      </c>
      <c r="U32" s="44">
        <v>0.56678587604516795</v>
      </c>
      <c r="V32" s="323">
        <v>4.8248322452040443E-2</v>
      </c>
      <c r="W32" s="80">
        <v>3.3468335410418961E-4</v>
      </c>
      <c r="X32" s="46" t="s">
        <v>53</v>
      </c>
      <c r="Y32" s="264">
        <v>0.62</v>
      </c>
    </row>
    <row r="33" spans="1:25" ht="15" thickTop="1" x14ac:dyDescent="0.35">
      <c r="A33" s="109" t="s">
        <v>81</v>
      </c>
      <c r="B33" s="110"/>
      <c r="C33" s="47"/>
      <c r="D33" s="48">
        <v>0.7589479935311273</v>
      </c>
      <c r="E33" s="49">
        <v>0.18833598018655523</v>
      </c>
      <c r="F33" s="50">
        <v>0.19764648988251507</v>
      </c>
      <c r="G33" s="48">
        <v>4.369307388906468</v>
      </c>
      <c r="H33" s="49">
        <v>1.9011943011592187</v>
      </c>
      <c r="I33" s="229">
        <v>1.995181058003624</v>
      </c>
      <c r="J33" s="225">
        <v>0.61140072342233931</v>
      </c>
      <c r="K33" s="49">
        <v>0.68084915467264306</v>
      </c>
      <c r="L33" s="50">
        <v>0.71450736830652528</v>
      </c>
      <c r="M33" s="48">
        <v>1.3288930665710499</v>
      </c>
      <c r="N33" s="49">
        <v>1.1226726373085822</v>
      </c>
      <c r="O33" s="229">
        <v>0.53910950992413742</v>
      </c>
      <c r="P33" s="225">
        <v>2.5975325266863956</v>
      </c>
      <c r="Q33" s="49">
        <v>2.0929208610952457</v>
      </c>
      <c r="R33" s="50">
        <v>1.3297784731218592</v>
      </c>
      <c r="S33" s="48">
        <v>2.6256135571413144</v>
      </c>
      <c r="T33" s="49">
        <v>1.7165572653909738</v>
      </c>
      <c r="U33" s="229">
        <v>0.58079941896099074</v>
      </c>
      <c r="V33" s="324">
        <v>5.1997800711880912E-2</v>
      </c>
      <c r="W33" s="51">
        <v>9.0151202406647431E-3</v>
      </c>
      <c r="X33" s="52"/>
      <c r="Y33" s="265">
        <v>2.37</v>
      </c>
    </row>
    <row r="34" spans="1:25" x14ac:dyDescent="0.35">
      <c r="A34" s="81" t="s">
        <v>82</v>
      </c>
      <c r="B34" s="82"/>
      <c r="C34" s="82"/>
      <c r="D34" s="29"/>
      <c r="E34" s="30"/>
      <c r="F34" s="31"/>
      <c r="G34" s="29"/>
      <c r="H34" s="30"/>
      <c r="I34" s="228"/>
      <c r="J34" s="223"/>
      <c r="K34" s="30"/>
      <c r="L34" s="31"/>
      <c r="M34" s="29"/>
      <c r="N34" s="30"/>
      <c r="O34" s="228"/>
      <c r="P34" s="223"/>
      <c r="Q34" s="30"/>
      <c r="R34" s="31"/>
      <c r="S34" s="29"/>
      <c r="T34" s="30"/>
      <c r="U34" s="228"/>
      <c r="V34" s="321"/>
      <c r="W34" s="37"/>
      <c r="X34" s="17"/>
      <c r="Y34" s="262"/>
    </row>
    <row r="35" spans="1:25" x14ac:dyDescent="0.35">
      <c r="A35" s="19"/>
      <c r="B35" s="65" t="s">
        <v>83</v>
      </c>
      <c r="C35" s="66"/>
      <c r="D35" s="22">
        <f>D36+D37</f>
        <v>22.563183378451452</v>
      </c>
      <c r="E35" s="23"/>
      <c r="F35" s="24"/>
      <c r="G35" s="22">
        <f>G36+G37</f>
        <v>17.507075629387153</v>
      </c>
      <c r="H35" s="23"/>
      <c r="I35" s="227"/>
      <c r="J35" s="222">
        <f>J36+J37</f>
        <v>13.892951155312691</v>
      </c>
      <c r="K35" s="23"/>
      <c r="L35" s="24"/>
      <c r="M35" s="22">
        <f>M36+M37</f>
        <v>11.580898122520388</v>
      </c>
      <c r="N35" s="23"/>
      <c r="O35" s="227"/>
      <c r="P35" s="222">
        <f>P36+P37</f>
        <v>12.09131818481891</v>
      </c>
      <c r="Q35" s="23"/>
      <c r="R35" s="24"/>
      <c r="S35" s="22">
        <f>S36+S37</f>
        <v>13.302407816007699</v>
      </c>
      <c r="T35" s="23"/>
      <c r="U35" s="227"/>
      <c r="V35" s="325"/>
      <c r="W35" s="83"/>
      <c r="X35" s="84"/>
      <c r="Y35" s="266">
        <f>Y36+Y37</f>
        <v>15.82</v>
      </c>
    </row>
    <row r="36" spans="1:25" x14ac:dyDescent="0.35">
      <c r="A36" s="19"/>
      <c r="B36" s="85"/>
      <c r="C36" s="86" t="s">
        <v>84</v>
      </c>
      <c r="D36" s="29">
        <v>12.43722540944098</v>
      </c>
      <c r="E36" s="30">
        <v>0.70723358234744993</v>
      </c>
      <c r="F36" s="31">
        <v>0.74219612704672566</v>
      </c>
      <c r="G36" s="29">
        <v>11.113568906135555</v>
      </c>
      <c r="H36" s="30">
        <v>1.8227418758105438</v>
      </c>
      <c r="I36" s="228">
        <v>1.9128502868064454</v>
      </c>
      <c r="J36" s="223">
        <v>7.7109664158480564</v>
      </c>
      <c r="K36" s="30">
        <v>0.81273716624064762</v>
      </c>
      <c r="L36" s="31">
        <v>0.85291534812100334</v>
      </c>
      <c r="M36" s="29">
        <v>6.1707776213719452</v>
      </c>
      <c r="N36" s="30">
        <v>5.2131833333333342</v>
      </c>
      <c r="O36" s="228">
        <v>1.0463657174031107</v>
      </c>
      <c r="P36" s="223">
        <v>6.3093234961943354</v>
      </c>
      <c r="Q36" s="30">
        <v>0.96268376005570888</v>
      </c>
      <c r="R36" s="31">
        <v>0.61166007962488023</v>
      </c>
      <c r="S36" s="29">
        <v>7.0571535596289046</v>
      </c>
      <c r="T36" s="30">
        <v>1.2684387279566305</v>
      </c>
      <c r="U36" s="228">
        <v>0.42917791968742269</v>
      </c>
      <c r="V36" s="321">
        <v>6.0087327236280533E-2</v>
      </c>
      <c r="W36" s="37">
        <v>0.26794242603456864</v>
      </c>
      <c r="X36" s="17"/>
      <c r="Y36" s="262">
        <v>8.67</v>
      </c>
    </row>
    <row r="37" spans="1:25" x14ac:dyDescent="0.35">
      <c r="A37" s="19"/>
      <c r="B37" s="85"/>
      <c r="C37" s="87" t="s">
        <v>85</v>
      </c>
      <c r="D37" s="29">
        <v>10.125957969010472</v>
      </c>
      <c r="E37" s="30">
        <v>0.66443062094966365</v>
      </c>
      <c r="F37" s="31">
        <v>0.69727717386279664</v>
      </c>
      <c r="G37" s="29">
        <v>6.3935067232515976</v>
      </c>
      <c r="H37" s="30">
        <v>1.0063442730166121</v>
      </c>
      <c r="I37" s="228">
        <v>1.0560935461088479</v>
      </c>
      <c r="J37" s="223">
        <v>6.1819847394646343</v>
      </c>
      <c r="K37" s="30">
        <v>1.418301928539901</v>
      </c>
      <c r="L37" s="31">
        <v>1.4884165919429801</v>
      </c>
      <c r="M37" s="29">
        <v>5.4101205011484437</v>
      </c>
      <c r="N37" s="30">
        <v>4.5705665895705172</v>
      </c>
      <c r="O37" s="228">
        <v>0.7795488166863398</v>
      </c>
      <c r="P37" s="223">
        <v>5.7819946886245743</v>
      </c>
      <c r="Q37" s="30">
        <v>1.0096013655271683</v>
      </c>
      <c r="R37" s="31">
        <v>0.64147010394358361</v>
      </c>
      <c r="S37" s="29">
        <v>6.2452542563787947</v>
      </c>
      <c r="T37" s="30">
        <v>1.1216223152836871</v>
      </c>
      <c r="U37" s="228">
        <v>0.37950239245998663</v>
      </c>
      <c r="V37" s="321">
        <v>0.30156011512849651</v>
      </c>
      <c r="W37" s="37">
        <v>0.81223841225171489</v>
      </c>
      <c r="X37" s="17"/>
      <c r="Y37" s="262">
        <v>7.15</v>
      </c>
    </row>
    <row r="38" spans="1:25" x14ac:dyDescent="0.35">
      <c r="A38" s="19"/>
      <c r="B38" s="71" t="s">
        <v>86</v>
      </c>
      <c r="C38" s="72"/>
      <c r="D38" s="22">
        <f>D39+D40</f>
        <v>6.2368229652702327</v>
      </c>
      <c r="E38" s="23"/>
      <c r="F38" s="24"/>
      <c r="G38" s="22">
        <f>G39+G40</f>
        <v>5.1487695451943427</v>
      </c>
      <c r="H38" s="23"/>
      <c r="I38" s="227"/>
      <c r="J38" s="222">
        <f>J39+J40</f>
        <v>4.3881176842159881</v>
      </c>
      <c r="K38" s="23"/>
      <c r="L38" s="24"/>
      <c r="M38" s="22">
        <f>M39+M40</f>
        <v>4.1635008434540017</v>
      </c>
      <c r="N38" s="23"/>
      <c r="O38" s="227"/>
      <c r="P38" s="222">
        <f>P39+P40</f>
        <v>3.8644451898633605</v>
      </c>
      <c r="Q38" s="23"/>
      <c r="R38" s="24"/>
      <c r="S38" s="22">
        <f>S39+S40</f>
        <v>4.2193618096126002</v>
      </c>
      <c r="T38" s="23"/>
      <c r="U38" s="227"/>
      <c r="V38" s="325"/>
      <c r="W38" s="83"/>
      <c r="X38" s="84"/>
      <c r="Y38" s="266">
        <f>Y39+Y40</f>
        <v>5.16</v>
      </c>
    </row>
    <row r="39" spans="1:25" x14ac:dyDescent="0.35">
      <c r="A39" s="19"/>
      <c r="B39" s="85"/>
      <c r="C39" s="87" t="s">
        <v>87</v>
      </c>
      <c r="D39" s="29">
        <v>2.7691973746391541</v>
      </c>
      <c r="E39" s="30">
        <v>0.75079558506383914</v>
      </c>
      <c r="F39" s="31">
        <v>0.7879116452425502</v>
      </c>
      <c r="G39" s="29">
        <v>3.0224414685696961</v>
      </c>
      <c r="H39" s="30">
        <v>1.0312819591007425</v>
      </c>
      <c r="I39" s="228">
        <v>1.0822640426620722</v>
      </c>
      <c r="J39" s="223">
        <v>2.659960104874405</v>
      </c>
      <c r="K39" s="30">
        <v>0.65133159096491733</v>
      </c>
      <c r="L39" s="31">
        <v>0.68353058494873775</v>
      </c>
      <c r="M39" s="29">
        <v>2.3277995040015895</v>
      </c>
      <c r="N39" s="30">
        <v>1.9665666666666664</v>
      </c>
      <c r="O39" s="228">
        <v>1.4697125353542018</v>
      </c>
      <c r="P39" s="223">
        <v>2.02007076577538</v>
      </c>
      <c r="Q39" s="30">
        <v>1.4519945841298405</v>
      </c>
      <c r="R39" s="31">
        <v>0.9225533449243587</v>
      </c>
      <c r="S39" s="29">
        <v>2.2175691254822731</v>
      </c>
      <c r="T39" s="30">
        <v>1.1903197631070861</v>
      </c>
      <c r="U39" s="228">
        <v>0.40274626470612779</v>
      </c>
      <c r="V39" s="321">
        <v>0.82410089382364937</v>
      </c>
      <c r="W39" s="37">
        <v>0.48065248309284792</v>
      </c>
      <c r="X39" s="17"/>
      <c r="Y39" s="262">
        <v>2.74</v>
      </c>
    </row>
    <row r="40" spans="1:25" ht="15" thickBot="1" x14ac:dyDescent="0.4">
      <c r="A40" s="38"/>
      <c r="B40" s="88"/>
      <c r="C40" s="89" t="s">
        <v>88</v>
      </c>
      <c r="D40" s="41">
        <v>3.4676255906310787</v>
      </c>
      <c r="E40" s="42">
        <v>0.81151102203783398</v>
      </c>
      <c r="F40" s="43">
        <v>0.85162858869491875</v>
      </c>
      <c r="G40" s="41">
        <v>2.1263280766246466</v>
      </c>
      <c r="H40" s="42">
        <v>0.27529120944919422</v>
      </c>
      <c r="I40" s="44">
        <v>0.28890040654605464</v>
      </c>
      <c r="J40" s="224">
        <v>1.7281575793415833</v>
      </c>
      <c r="K40" s="42">
        <v>0.25397364745176892</v>
      </c>
      <c r="L40" s="43">
        <v>0.2665289972302643</v>
      </c>
      <c r="M40" s="41">
        <v>1.8357013394524122</v>
      </c>
      <c r="N40" s="42">
        <v>1.5508333333333333</v>
      </c>
      <c r="O40" s="44">
        <v>0.23525499126638336</v>
      </c>
      <c r="P40" s="224">
        <v>1.8443744240879805</v>
      </c>
      <c r="Q40" s="42">
        <v>0.57971494407931967</v>
      </c>
      <c r="R40" s="43">
        <v>0.36833330276057646</v>
      </c>
      <c r="S40" s="41">
        <v>2.0017926841303266</v>
      </c>
      <c r="T40" s="42">
        <v>0.53501459299085086</v>
      </c>
      <c r="U40" s="44">
        <v>0.18102289449339287</v>
      </c>
      <c r="V40" s="323">
        <v>0.46417281511178021</v>
      </c>
      <c r="W40" s="45">
        <v>0.14130193710684047</v>
      </c>
      <c r="X40" s="46"/>
      <c r="Y40" s="264">
        <v>2.42</v>
      </c>
    </row>
    <row r="41" spans="1:25" ht="15" thickTop="1" x14ac:dyDescent="0.35">
      <c r="A41" s="109" t="s">
        <v>89</v>
      </c>
      <c r="B41" s="90"/>
      <c r="C41" s="47"/>
      <c r="D41" s="48">
        <v>28.80000634372168</v>
      </c>
      <c r="E41" s="49">
        <v>2.0974284009139295</v>
      </c>
      <c r="F41" s="50">
        <v>2.2011161160491217</v>
      </c>
      <c r="G41" s="48">
        <v>22.655845174581501</v>
      </c>
      <c r="H41" s="49">
        <v>1.3419741040099589</v>
      </c>
      <c r="I41" s="229">
        <v>1.4083154525655317</v>
      </c>
      <c r="J41" s="225">
        <v>18.281068839528679</v>
      </c>
      <c r="K41" s="49">
        <v>1.7377426421328006</v>
      </c>
      <c r="L41" s="50">
        <v>1.8236490616211747</v>
      </c>
      <c r="M41" s="48">
        <v>15.744398965974389</v>
      </c>
      <c r="N41" s="49">
        <v>13.301149922903852</v>
      </c>
      <c r="O41" s="229">
        <v>1.8873360221840692</v>
      </c>
      <c r="P41" s="225">
        <v>15.955763374682268</v>
      </c>
      <c r="Q41" s="49">
        <v>2.582906353311361</v>
      </c>
      <c r="R41" s="50">
        <v>1.6411004021077615</v>
      </c>
      <c r="S41" s="48">
        <v>17.521769625620298</v>
      </c>
      <c r="T41" s="49">
        <v>2.2277907705697917</v>
      </c>
      <c r="U41" s="229">
        <v>0.75377595096944605</v>
      </c>
      <c r="V41" s="324">
        <v>0.69300962595625815</v>
      </c>
      <c r="W41" s="51">
        <v>0.25796413929939366</v>
      </c>
      <c r="X41" s="52"/>
      <c r="Y41" s="265">
        <v>21.73</v>
      </c>
    </row>
    <row r="42" spans="1:25" x14ac:dyDescent="0.35">
      <c r="A42" s="73" t="s">
        <v>90</v>
      </c>
      <c r="B42" s="64"/>
      <c r="C42" s="64"/>
      <c r="D42" s="29"/>
      <c r="E42" s="30"/>
      <c r="F42" s="31"/>
      <c r="G42" s="29"/>
      <c r="H42" s="30"/>
      <c r="I42" s="228"/>
      <c r="J42" s="223"/>
      <c r="K42" s="30"/>
      <c r="L42" s="31"/>
      <c r="M42" s="29"/>
      <c r="N42" s="30"/>
      <c r="O42" s="228"/>
      <c r="P42" s="223"/>
      <c r="Q42" s="30"/>
      <c r="R42" s="31"/>
      <c r="S42" s="29"/>
      <c r="T42" s="30"/>
      <c r="U42" s="228"/>
      <c r="V42" s="321"/>
      <c r="W42" s="37"/>
      <c r="X42" s="17"/>
      <c r="Y42" s="262"/>
    </row>
    <row r="43" spans="1:25" x14ac:dyDescent="0.35">
      <c r="A43" s="19"/>
      <c r="B43" s="76" t="s">
        <v>91</v>
      </c>
      <c r="C43" s="77"/>
      <c r="D43" s="29">
        <v>2.9275677002942917</v>
      </c>
      <c r="E43" s="30">
        <v>0.34923471890533653</v>
      </c>
      <c r="F43" s="31">
        <v>0.36649936070831612</v>
      </c>
      <c r="G43" s="29">
        <v>3.7042151702009565</v>
      </c>
      <c r="H43" s="30">
        <v>1.2213901460585357</v>
      </c>
      <c r="I43" s="228">
        <v>1.2817703494915895</v>
      </c>
      <c r="J43" s="223">
        <v>4.2119440223549498</v>
      </c>
      <c r="K43" s="30">
        <v>0.74586653557381932</v>
      </c>
      <c r="L43" s="31">
        <v>0.78273892503691223</v>
      </c>
      <c r="M43" s="29">
        <v>1.6591346872428574</v>
      </c>
      <c r="N43" s="30">
        <v>1.4016666666666666</v>
      </c>
      <c r="O43" s="228">
        <v>0.56009513903245323</v>
      </c>
      <c r="P43" s="223">
        <v>3.3571409786596274</v>
      </c>
      <c r="Q43" s="30">
        <v>0.93267733282969045</v>
      </c>
      <c r="R43" s="31">
        <v>0.59259490534037518</v>
      </c>
      <c r="S43" s="29">
        <v>3.4769427181366135</v>
      </c>
      <c r="T43" s="30">
        <v>1.1066714630681362</v>
      </c>
      <c r="U43" s="228">
        <v>0.37444375185717182</v>
      </c>
      <c r="V43" s="321">
        <v>1.6282268425196309E-3</v>
      </c>
      <c r="W43" s="37">
        <v>2.7031208236795126E-2</v>
      </c>
      <c r="X43" s="17" t="s">
        <v>53</v>
      </c>
      <c r="Y43" s="262">
        <v>3.85</v>
      </c>
    </row>
    <row r="44" spans="1:25" ht="15" thickBot="1" x14ac:dyDescent="0.4">
      <c r="A44" s="38"/>
      <c r="B44" s="91" t="s">
        <v>92</v>
      </c>
      <c r="C44" s="92"/>
      <c r="D44" s="41">
        <v>0.58971088117546544</v>
      </c>
      <c r="E44" s="42">
        <v>0.22295164211600285</v>
      </c>
      <c r="F44" s="43">
        <v>0.23397339920986798</v>
      </c>
      <c r="G44" s="41">
        <v>0.13565519825603747</v>
      </c>
      <c r="H44" s="42">
        <v>0.11345601203403312</v>
      </c>
      <c r="I44" s="44">
        <v>0.11906478258898207</v>
      </c>
      <c r="J44" s="224">
        <v>0.84394939215477993</v>
      </c>
      <c r="K44" s="42">
        <v>0.77500000000000013</v>
      </c>
      <c r="L44" s="43">
        <v>0.81331262091938827</v>
      </c>
      <c r="M44" s="41">
        <v>0.41468503122288775</v>
      </c>
      <c r="N44" s="42">
        <v>0.35033333333333333</v>
      </c>
      <c r="O44" s="44">
        <v>0.46542980029468445</v>
      </c>
      <c r="P44" s="224">
        <v>0.65438372299975711</v>
      </c>
      <c r="Q44" s="42">
        <v>0.69311270528119906</v>
      </c>
      <c r="R44" s="43">
        <v>0.44038280283940923</v>
      </c>
      <c r="S44" s="41">
        <v>0.66070804710452624</v>
      </c>
      <c r="T44" s="42">
        <v>0.58561314076823123</v>
      </c>
      <c r="U44" s="44">
        <v>0.19814297999352848</v>
      </c>
      <c r="V44" s="323">
        <v>0.4452297066605968</v>
      </c>
      <c r="W44" s="45">
        <v>0.35788110421296343</v>
      </c>
      <c r="X44" s="46"/>
      <c r="Y44" s="264">
        <v>0.73</v>
      </c>
    </row>
    <row r="45" spans="1:25" ht="15" thickTop="1" x14ac:dyDescent="0.35">
      <c r="A45" s="109" t="s">
        <v>93</v>
      </c>
      <c r="B45" s="110"/>
      <c r="C45" s="47"/>
      <c r="D45" s="48">
        <v>3.5172785814697569</v>
      </c>
      <c r="E45" s="49">
        <v>0.31392888658633034</v>
      </c>
      <c r="F45" s="50">
        <v>0.32944816197655957</v>
      </c>
      <c r="G45" s="48">
        <v>3.8398703684569937</v>
      </c>
      <c r="H45" s="49">
        <v>1.2197719003522294</v>
      </c>
      <c r="I45" s="229">
        <v>1.280072104773283</v>
      </c>
      <c r="J45" s="225">
        <v>5.0558934145097298</v>
      </c>
      <c r="K45" s="49">
        <v>0.85911537189263509</v>
      </c>
      <c r="L45" s="50">
        <v>0.90158629004662438</v>
      </c>
      <c r="M45" s="48">
        <v>2.073819718465745</v>
      </c>
      <c r="N45" s="49">
        <v>1.7519999999999998</v>
      </c>
      <c r="O45" s="229">
        <v>0.77777176852794216</v>
      </c>
      <c r="P45" s="225">
        <v>4.0115247016593845</v>
      </c>
      <c r="Q45" s="49">
        <v>1.1847624656242637</v>
      </c>
      <c r="R45" s="50">
        <v>0.75276215734476604</v>
      </c>
      <c r="S45" s="48">
        <v>4.1376507652411396</v>
      </c>
      <c r="T45" s="49">
        <v>1.3098300785775743</v>
      </c>
      <c r="U45" s="229">
        <v>0.44318273786351742</v>
      </c>
      <c r="V45" s="324">
        <v>1.7206709570187261E-3</v>
      </c>
      <c r="W45" s="93">
        <v>1.3758128143358465E-3</v>
      </c>
      <c r="X45" s="52" t="s">
        <v>53</v>
      </c>
      <c r="Y45" s="265">
        <v>4.58</v>
      </c>
    </row>
    <row r="46" spans="1:25" x14ac:dyDescent="0.35">
      <c r="A46" s="63" t="s">
        <v>94</v>
      </c>
      <c r="B46" s="64"/>
      <c r="C46" s="64"/>
      <c r="D46" s="29"/>
      <c r="E46" s="30"/>
      <c r="F46" s="31"/>
      <c r="G46" s="29"/>
      <c r="H46" s="30"/>
      <c r="I46" s="228"/>
      <c r="J46" s="223"/>
      <c r="K46" s="30"/>
      <c r="L46" s="31"/>
      <c r="M46" s="29"/>
      <c r="N46" s="30"/>
      <c r="O46" s="228"/>
      <c r="P46" s="223"/>
      <c r="Q46" s="30"/>
      <c r="R46" s="31"/>
      <c r="S46" s="29"/>
      <c r="T46" s="30"/>
      <c r="U46" s="228"/>
      <c r="V46" s="321"/>
      <c r="W46" s="37"/>
      <c r="X46" s="17"/>
      <c r="Y46" s="262"/>
    </row>
    <row r="47" spans="1:25" x14ac:dyDescent="0.35">
      <c r="A47" s="19"/>
      <c r="B47" s="76" t="s">
        <v>95</v>
      </c>
      <c r="C47" s="77"/>
      <c r="D47" s="29"/>
      <c r="E47" s="30"/>
      <c r="F47" s="31"/>
      <c r="G47" s="29"/>
      <c r="H47" s="30"/>
      <c r="I47" s="228"/>
      <c r="J47" s="223"/>
      <c r="K47" s="30"/>
      <c r="L47" s="31"/>
      <c r="M47" s="29"/>
      <c r="N47" s="30"/>
      <c r="O47" s="228"/>
      <c r="P47" s="223"/>
      <c r="Q47" s="30"/>
      <c r="R47" s="31"/>
      <c r="S47" s="29"/>
      <c r="T47" s="30"/>
      <c r="U47" s="228"/>
      <c r="V47" s="321"/>
      <c r="W47" s="37"/>
      <c r="X47" s="17"/>
      <c r="Y47" s="262"/>
    </row>
    <row r="48" spans="1:25" x14ac:dyDescent="0.35">
      <c r="A48" s="19"/>
      <c r="B48" s="85"/>
      <c r="C48" s="86" t="s">
        <v>96</v>
      </c>
      <c r="D48" s="29">
        <v>1.2476985111810739</v>
      </c>
      <c r="E48" s="30">
        <v>0.18049969221272655</v>
      </c>
      <c r="F48" s="31">
        <v>0.18942280999829095</v>
      </c>
      <c r="G48" s="29">
        <v>1.0037029623440725</v>
      </c>
      <c r="H48" s="30">
        <v>0.10483386327370008</v>
      </c>
      <c r="I48" s="228">
        <v>0.11001639238740359</v>
      </c>
      <c r="J48" s="223">
        <v>0.77711517119163187</v>
      </c>
      <c r="K48" s="30">
        <v>0.16307870765029034</v>
      </c>
      <c r="L48" s="31">
        <v>0.17114060791639263</v>
      </c>
      <c r="M48" s="29">
        <v>0.83021837150108391</v>
      </c>
      <c r="N48" s="30">
        <v>0.70138333333333325</v>
      </c>
      <c r="O48" s="228">
        <v>0.3080843754933284</v>
      </c>
      <c r="P48" s="223">
        <v>0.67502356799713814</v>
      </c>
      <c r="Q48" s="30">
        <v>0.18738315212975618</v>
      </c>
      <c r="R48" s="31">
        <v>0.11905757477971284</v>
      </c>
      <c r="S48" s="29">
        <v>0.75115397477574797</v>
      </c>
      <c r="T48" s="30">
        <v>0.20031149865045078</v>
      </c>
      <c r="U48" s="228">
        <v>6.7775660254998038E-2</v>
      </c>
      <c r="V48" s="321">
        <v>0.69443485834498753</v>
      </c>
      <c r="W48" s="37">
        <v>0.14057961930312879</v>
      </c>
      <c r="X48" s="17"/>
      <c r="Y48" s="262">
        <v>0.73</v>
      </c>
    </row>
    <row r="49" spans="1:25" x14ac:dyDescent="0.35">
      <c r="A49" s="19"/>
      <c r="B49" s="85"/>
      <c r="C49" s="94" t="s">
        <v>97</v>
      </c>
      <c r="D49" s="29">
        <v>1.8216460446075042</v>
      </c>
      <c r="E49" s="30">
        <v>0.3659151768739124</v>
      </c>
      <c r="F49" s="31">
        <v>0.38400442779032662</v>
      </c>
      <c r="G49" s="29">
        <v>1.130180168638893</v>
      </c>
      <c r="H49" s="30">
        <v>0.21549200810135746</v>
      </c>
      <c r="I49" s="228">
        <v>0.22614499341431879</v>
      </c>
      <c r="J49" s="223">
        <v>0.98522364563470399</v>
      </c>
      <c r="K49" s="30">
        <v>0.36701574292604305</v>
      </c>
      <c r="L49" s="31">
        <v>0.3851594010294922</v>
      </c>
      <c r="M49" s="29">
        <v>0.72461375817396134</v>
      </c>
      <c r="N49" s="30">
        <v>0.61216666666666664</v>
      </c>
      <c r="O49" s="228">
        <v>0.28441475283499501</v>
      </c>
      <c r="P49" s="223">
        <v>0.94107501643604574</v>
      </c>
      <c r="Q49" s="30">
        <v>0.28396315036266395</v>
      </c>
      <c r="R49" s="31">
        <v>0.18042157805934916</v>
      </c>
      <c r="S49" s="29">
        <v>1.0186023057627314</v>
      </c>
      <c r="T49" s="30">
        <v>0.32373501151013795</v>
      </c>
      <c r="U49" s="228">
        <v>0.10953616891982457</v>
      </c>
      <c r="V49" s="321">
        <v>0.49580411359113152</v>
      </c>
      <c r="W49" s="37">
        <v>0.15408065845837199</v>
      </c>
      <c r="X49" s="17"/>
      <c r="Y49" s="262">
        <v>1.29</v>
      </c>
    </row>
    <row r="50" spans="1:25" ht="15" thickBot="1" x14ac:dyDescent="0.4">
      <c r="A50" s="38"/>
      <c r="B50" s="39" t="s">
        <v>98</v>
      </c>
      <c r="C50" s="40"/>
      <c r="D50" s="41">
        <v>2.7568758282189343</v>
      </c>
      <c r="E50" s="42">
        <v>2.1597524871048432</v>
      </c>
      <c r="F50" s="43">
        <v>2.2665212333218157</v>
      </c>
      <c r="G50" s="41">
        <v>2.6791621838739315</v>
      </c>
      <c r="H50" s="42">
        <v>0.78687900471136918</v>
      </c>
      <c r="I50" s="44">
        <v>0.82577887182999132</v>
      </c>
      <c r="J50" s="224">
        <v>0.61903995925280164</v>
      </c>
      <c r="K50" s="42">
        <v>0.48426233851085299</v>
      </c>
      <c r="L50" s="43">
        <v>0.50820215709266292</v>
      </c>
      <c r="M50" s="41">
        <v>0.80061568849643139</v>
      </c>
      <c r="N50" s="42">
        <v>0.67637445712179778</v>
      </c>
      <c r="O50" s="44">
        <v>0.64122771226362918</v>
      </c>
      <c r="P50" s="224">
        <v>1.7935275006151197</v>
      </c>
      <c r="Q50" s="42">
        <v>3.1388383500035766</v>
      </c>
      <c r="R50" s="43">
        <v>1.994322741023193</v>
      </c>
      <c r="S50" s="41">
        <v>1.877566690256196</v>
      </c>
      <c r="T50" s="42">
        <v>2.1131852298100862</v>
      </c>
      <c r="U50" s="44">
        <v>0.71499901481649675</v>
      </c>
      <c r="V50" s="323">
        <v>0.78103145000157304</v>
      </c>
      <c r="W50" s="45">
        <v>0.95681313279246583</v>
      </c>
      <c r="X50" s="46"/>
      <c r="Y50" s="264">
        <v>1.25</v>
      </c>
    </row>
    <row r="51" spans="1:25" ht="15" thickTop="1" x14ac:dyDescent="0.35">
      <c r="A51" s="109" t="s">
        <v>99</v>
      </c>
      <c r="B51" s="110"/>
      <c r="C51" s="47"/>
      <c r="D51" s="48">
        <v>5.8262203840075113</v>
      </c>
      <c r="E51" s="49">
        <v>2.1974908734483725</v>
      </c>
      <c r="F51" s="50">
        <v>2.3061252409428787</v>
      </c>
      <c r="G51" s="48">
        <v>4.8130453148568977</v>
      </c>
      <c r="H51" s="49">
        <v>0.68441016068988381</v>
      </c>
      <c r="I51" s="229">
        <v>0.71824441493490188</v>
      </c>
      <c r="J51" s="225">
        <v>2.3813787760791376</v>
      </c>
      <c r="K51" s="49">
        <v>0.67729806375529089</v>
      </c>
      <c r="L51" s="50">
        <v>0.71078072693734506</v>
      </c>
      <c r="M51" s="48">
        <v>2.3554478181714766</v>
      </c>
      <c r="N51" s="49">
        <v>1.9899244571217976</v>
      </c>
      <c r="O51" s="229">
        <v>1.1369903358436055</v>
      </c>
      <c r="P51" s="225">
        <v>3.4096260850483033</v>
      </c>
      <c r="Q51" s="49">
        <v>3.0404979591665793</v>
      </c>
      <c r="R51" s="50">
        <v>1.9318402376451169</v>
      </c>
      <c r="S51" s="48">
        <v>3.6473229707946762</v>
      </c>
      <c r="T51" s="49">
        <v>2.1113285359955261</v>
      </c>
      <c r="U51" s="229">
        <v>0.71437080001095155</v>
      </c>
      <c r="V51" s="324">
        <v>0.75106164515317375</v>
      </c>
      <c r="W51" s="51">
        <v>0.82291742535807766</v>
      </c>
      <c r="X51" s="52"/>
      <c r="Y51" s="265">
        <v>3.27</v>
      </c>
    </row>
    <row r="52" spans="1:25" x14ac:dyDescent="0.35">
      <c r="A52" s="63" t="s">
        <v>100</v>
      </c>
      <c r="B52" s="64"/>
      <c r="C52" s="64"/>
      <c r="D52" s="29"/>
      <c r="E52" s="30"/>
      <c r="F52" s="31"/>
      <c r="G52" s="29"/>
      <c r="H52" s="30"/>
      <c r="I52" s="228"/>
      <c r="J52" s="223"/>
      <c r="K52" s="30"/>
      <c r="L52" s="31"/>
      <c r="M52" s="29"/>
      <c r="N52" s="30"/>
      <c r="O52" s="228"/>
      <c r="P52" s="223"/>
      <c r="Q52" s="30"/>
      <c r="R52" s="31"/>
      <c r="S52" s="29"/>
      <c r="T52" s="30"/>
      <c r="U52" s="228"/>
      <c r="V52" s="321"/>
      <c r="W52" s="37"/>
      <c r="X52" s="17"/>
      <c r="Y52" s="262"/>
    </row>
    <row r="53" spans="1:25" x14ac:dyDescent="0.35">
      <c r="A53" s="19"/>
      <c r="B53" s="65" t="s">
        <v>101</v>
      </c>
      <c r="C53" s="66"/>
      <c r="D53" s="29">
        <v>1.6027500784376918</v>
      </c>
      <c r="E53" s="30">
        <v>0.55162713656288553</v>
      </c>
      <c r="F53" s="31">
        <v>0.57889717704286148</v>
      </c>
      <c r="G53" s="29">
        <v>3.2506320918737357</v>
      </c>
      <c r="H53" s="30">
        <v>2.0551123583774089</v>
      </c>
      <c r="I53" s="228">
        <v>2.1567081528719418</v>
      </c>
      <c r="J53" s="223">
        <v>0.62752052127129132</v>
      </c>
      <c r="K53" s="30">
        <v>0.33839950091899107</v>
      </c>
      <c r="L53" s="31">
        <v>0.35512849678740321</v>
      </c>
      <c r="M53" s="29">
        <v>1.9795193165035472</v>
      </c>
      <c r="N53" s="30">
        <v>1.6723333333333334</v>
      </c>
      <c r="O53" s="228">
        <v>1.2493224108026468</v>
      </c>
      <c r="P53" s="223">
        <v>1.1210698898534623</v>
      </c>
      <c r="Q53" s="30">
        <v>1.1021224473210263</v>
      </c>
      <c r="R53" s="31">
        <v>0.70025519475443976</v>
      </c>
      <c r="S53" s="29">
        <v>1.2992226833780658</v>
      </c>
      <c r="T53" s="30">
        <v>1.288084311053725</v>
      </c>
      <c r="U53" s="228">
        <v>0.43582502868750811</v>
      </c>
      <c r="V53" s="321">
        <v>0.18530701352290921</v>
      </c>
      <c r="W53" s="37">
        <v>0.2909864082015049</v>
      </c>
      <c r="X53" s="17"/>
      <c r="Y53" s="262">
        <v>1.82</v>
      </c>
    </row>
    <row r="54" spans="1:25" x14ac:dyDescent="0.35">
      <c r="A54" s="19"/>
      <c r="B54" s="71" t="s">
        <v>272</v>
      </c>
      <c r="C54" s="72"/>
      <c r="D54" s="37"/>
      <c r="E54" s="30"/>
      <c r="F54" s="223"/>
      <c r="G54" s="37"/>
      <c r="H54" s="30"/>
      <c r="I54" s="223"/>
      <c r="J54" s="37"/>
      <c r="K54" s="30"/>
      <c r="L54" s="223"/>
      <c r="M54" s="37"/>
      <c r="N54" s="30"/>
      <c r="O54" s="223"/>
      <c r="P54" s="37"/>
      <c r="Q54" s="30"/>
      <c r="R54" s="223"/>
      <c r="S54" s="37"/>
      <c r="T54" s="30"/>
      <c r="U54" s="223"/>
      <c r="V54" s="326"/>
      <c r="W54" s="83"/>
      <c r="X54" s="84"/>
      <c r="Y54" s="263"/>
    </row>
    <row r="55" spans="1:25" x14ac:dyDescent="0.35">
      <c r="A55" s="19"/>
      <c r="B55" s="85"/>
      <c r="C55" s="79" t="s">
        <v>271</v>
      </c>
      <c r="D55" s="29">
        <v>7.0813808349514442</v>
      </c>
      <c r="E55" s="30">
        <v>2.8135077157645521</v>
      </c>
      <c r="F55" s="31">
        <v>2.9525952700456624</v>
      </c>
      <c r="G55" s="29">
        <v>3.2108981022855403</v>
      </c>
      <c r="H55" s="30">
        <v>2.7665959679721941</v>
      </c>
      <c r="I55" s="228">
        <v>2.9033644099825504</v>
      </c>
      <c r="J55" s="223">
        <v>3.4420958676552793</v>
      </c>
      <c r="K55" s="30">
        <v>1.1822444038170163</v>
      </c>
      <c r="L55" s="31">
        <v>1.2406894124331573</v>
      </c>
      <c r="M55" s="29">
        <v>3.6332009512843806</v>
      </c>
      <c r="N55" s="30">
        <v>3.0693931637218039</v>
      </c>
      <c r="O55" s="228">
        <v>2.0867708403298009</v>
      </c>
      <c r="P55" s="223">
        <v>2.7467983033071581</v>
      </c>
      <c r="Q55" s="30">
        <v>1.4517840652873353</v>
      </c>
      <c r="R55" s="31">
        <v>0.92241958763321896</v>
      </c>
      <c r="S55" s="29">
        <v>3.1112506894139695</v>
      </c>
      <c r="T55" s="30">
        <v>2.1362728277527725</v>
      </c>
      <c r="U55" s="228">
        <v>0.72281073408778074</v>
      </c>
      <c r="V55" s="321">
        <v>0.63393326632728775</v>
      </c>
      <c r="W55" s="37">
        <v>1.1471701505698819E-2</v>
      </c>
      <c r="X55" s="17"/>
      <c r="Y55" s="262">
        <v>4.67</v>
      </c>
    </row>
    <row r="56" spans="1:25" ht="15" thickBot="1" x14ac:dyDescent="0.4">
      <c r="A56" s="38"/>
      <c r="B56" s="88"/>
      <c r="C56" s="89" t="s">
        <v>102</v>
      </c>
      <c r="D56" s="41">
        <v>7.2819433615520168</v>
      </c>
      <c r="E56" s="42">
        <v>2.1752435469440363</v>
      </c>
      <c r="F56" s="43">
        <v>2.2827781036168262</v>
      </c>
      <c r="G56" s="41">
        <v>2.2056318000025001</v>
      </c>
      <c r="H56" s="42">
        <v>0.91640608905777099</v>
      </c>
      <c r="I56" s="44">
        <v>0.96170921047491853</v>
      </c>
      <c r="J56" s="224">
        <v>2.0165405792826245</v>
      </c>
      <c r="K56" s="42">
        <v>0.59057953150351428</v>
      </c>
      <c r="L56" s="43">
        <v>0.61977520855286128</v>
      </c>
      <c r="M56" s="41">
        <v>2.8608844679509198</v>
      </c>
      <c r="N56" s="42">
        <v>2.4169263814109123</v>
      </c>
      <c r="O56" s="44">
        <v>1.1351540899100525</v>
      </c>
      <c r="P56" s="224">
        <v>3.6612838770119689</v>
      </c>
      <c r="Q56" s="42">
        <v>2.3987335697845689</v>
      </c>
      <c r="R56" s="43">
        <v>1.5240825982235304</v>
      </c>
      <c r="S56" s="41">
        <v>3.8393143959739056</v>
      </c>
      <c r="T56" s="42">
        <v>1.9754113475707724</v>
      </c>
      <c r="U56" s="44">
        <v>0.66838303970985347</v>
      </c>
      <c r="V56" s="323">
        <v>0.10806123344352223</v>
      </c>
      <c r="W56" s="80">
        <v>7.6385694555691398E-5</v>
      </c>
      <c r="X56" s="46"/>
      <c r="Y56" s="264">
        <v>2.97</v>
      </c>
    </row>
    <row r="57" spans="1:25" ht="15" thickTop="1" x14ac:dyDescent="0.35">
      <c r="A57" s="109" t="s">
        <v>103</v>
      </c>
      <c r="B57" s="110"/>
      <c r="C57" s="47"/>
      <c r="D57" s="48">
        <v>15.966074274941152</v>
      </c>
      <c r="E57" s="49">
        <v>4.9436626176422234</v>
      </c>
      <c r="F57" s="50">
        <v>5.1880557425752256</v>
      </c>
      <c r="G57" s="48">
        <v>8.6671619941617752</v>
      </c>
      <c r="H57" s="49">
        <v>3.9625680198049529</v>
      </c>
      <c r="I57" s="229">
        <v>4.1584601054953758</v>
      </c>
      <c r="J57" s="225">
        <v>6.0861569682091945</v>
      </c>
      <c r="K57" s="49">
        <v>1.8533083249880582</v>
      </c>
      <c r="L57" s="50">
        <v>1.9449278079583983</v>
      </c>
      <c r="M57" s="48">
        <v>8.4736047357388458</v>
      </c>
      <c r="N57" s="49">
        <v>7.1586528784660501</v>
      </c>
      <c r="O57" s="229">
        <v>3.3048816214566812</v>
      </c>
      <c r="P57" s="225">
        <v>7.5291520701725894</v>
      </c>
      <c r="Q57" s="49">
        <v>2.825265459992953</v>
      </c>
      <c r="R57" s="50">
        <v>1.7950880319417781</v>
      </c>
      <c r="S57" s="48">
        <v>8.2497877687659411</v>
      </c>
      <c r="T57" s="49">
        <v>3.6137011778366155</v>
      </c>
      <c r="U57" s="229">
        <v>1.2227005685756196</v>
      </c>
      <c r="V57" s="324">
        <v>0.40503583101570351</v>
      </c>
      <c r="W57" s="93">
        <v>1.1856604134644986E-3</v>
      </c>
      <c r="X57" s="52"/>
      <c r="Y57" s="265">
        <v>9.4700000000000006</v>
      </c>
    </row>
    <row r="58" spans="1:25" x14ac:dyDescent="0.35">
      <c r="A58" s="63" t="s">
        <v>104</v>
      </c>
      <c r="B58" s="64"/>
      <c r="C58" s="64"/>
      <c r="D58" s="29"/>
      <c r="E58" s="30"/>
      <c r="F58" s="31"/>
      <c r="G58" s="29"/>
      <c r="H58" s="30"/>
      <c r="I58" s="228"/>
      <c r="J58" s="223"/>
      <c r="K58" s="30"/>
      <c r="L58" s="31"/>
      <c r="M58" s="29"/>
      <c r="N58" s="30"/>
      <c r="O58" s="228"/>
      <c r="P58" s="223"/>
      <c r="Q58" s="30"/>
      <c r="R58" s="31"/>
      <c r="S58" s="29"/>
      <c r="T58" s="30"/>
      <c r="U58" s="228"/>
      <c r="V58" s="321"/>
      <c r="W58" s="37"/>
      <c r="X58" s="17"/>
      <c r="Y58" s="262"/>
    </row>
    <row r="59" spans="1:25" x14ac:dyDescent="0.35">
      <c r="A59" s="19"/>
      <c r="B59" s="76" t="s">
        <v>105</v>
      </c>
      <c r="C59" s="77"/>
      <c r="D59" s="29"/>
      <c r="E59" s="30"/>
      <c r="F59" s="31"/>
      <c r="G59" s="29"/>
      <c r="H59" s="30"/>
      <c r="I59" s="228"/>
      <c r="J59" s="223"/>
      <c r="K59" s="30"/>
      <c r="L59" s="31"/>
      <c r="M59" s="29"/>
      <c r="N59" s="30"/>
      <c r="O59" s="228"/>
      <c r="P59" s="223"/>
      <c r="Q59" s="30"/>
      <c r="R59" s="31"/>
      <c r="S59" s="29"/>
      <c r="T59" s="30"/>
      <c r="U59" s="228"/>
      <c r="V59" s="321"/>
      <c r="W59" s="37"/>
      <c r="X59" s="17"/>
      <c r="Y59" s="262"/>
    </row>
    <row r="60" spans="1:25" x14ac:dyDescent="0.35">
      <c r="A60" s="19"/>
      <c r="B60" s="27"/>
      <c r="C60" s="87" t="s">
        <v>106</v>
      </c>
      <c r="D60" s="29">
        <v>5.1300835869642965E-2</v>
      </c>
      <c r="E60" s="30">
        <v>6.14918693812442E-2</v>
      </c>
      <c r="F60" s="31">
        <v>6.4531759292506305E-2</v>
      </c>
      <c r="G60" s="29">
        <v>2.1825712590699087E-2</v>
      </c>
      <c r="H60" s="30">
        <v>1.8610033136277133E-2</v>
      </c>
      <c r="I60" s="228">
        <v>1.9530032032854472E-2</v>
      </c>
      <c r="J60" s="223">
        <v>3.4702541915853473E-2</v>
      </c>
      <c r="K60" s="30">
        <v>4.029233453427862E-2</v>
      </c>
      <c r="L60" s="31">
        <v>4.2284211874883765E-2</v>
      </c>
      <c r="M60" s="29">
        <v>1.97281175653134E-2</v>
      </c>
      <c r="N60" s="30">
        <v>1.6666666666666663E-2</v>
      </c>
      <c r="O60" s="228">
        <v>2.6567285346316652E-2</v>
      </c>
      <c r="P60" s="223">
        <v>4.8203250792225039E-2</v>
      </c>
      <c r="Q60" s="30">
        <v>5.1558758281746421E-2</v>
      </c>
      <c r="R60" s="31">
        <v>3.2758872128629248E-2</v>
      </c>
      <c r="S60" s="29">
        <v>4.8182945881895756E-2</v>
      </c>
      <c r="T60" s="30">
        <v>4.5445021729558006E-2</v>
      </c>
      <c r="U60" s="228">
        <v>1.5376383152114145E-2</v>
      </c>
      <c r="V60" s="321">
        <v>0.78998126969020499</v>
      </c>
      <c r="W60" s="37">
        <v>0.64757423589705376</v>
      </c>
      <c r="X60" s="17"/>
      <c r="Y60" s="262">
        <v>0.06</v>
      </c>
    </row>
    <row r="61" spans="1:25" x14ac:dyDescent="0.35">
      <c r="A61" s="95"/>
      <c r="B61" s="27"/>
      <c r="C61" s="87" t="s">
        <v>107</v>
      </c>
      <c r="D61" s="29">
        <v>2.0022871697000046</v>
      </c>
      <c r="E61" s="30">
        <v>1.0269674883959194</v>
      </c>
      <c r="F61" s="31">
        <v>1.077736283337144</v>
      </c>
      <c r="G61" s="29">
        <v>1.4005573781940102</v>
      </c>
      <c r="H61" s="30">
        <v>0.5952278471800122</v>
      </c>
      <c r="I61" s="228">
        <v>0.62465331668926549</v>
      </c>
      <c r="J61" s="223">
        <v>1.0835817378104071</v>
      </c>
      <c r="K61" s="30">
        <v>1.0857531564157055</v>
      </c>
      <c r="L61" s="31">
        <v>1.139428058472201</v>
      </c>
      <c r="M61" s="29">
        <v>0.37937170078097676</v>
      </c>
      <c r="N61" s="30">
        <v>0.32050000000000001</v>
      </c>
      <c r="O61" s="228">
        <v>0.2542911620215878</v>
      </c>
      <c r="P61" s="223">
        <v>0.74036258257609311</v>
      </c>
      <c r="Q61" s="30">
        <v>1.0525078648426129</v>
      </c>
      <c r="R61" s="31">
        <v>0.66873159299809004</v>
      </c>
      <c r="S61" s="29">
        <v>0.84054622826940195</v>
      </c>
      <c r="T61" s="30">
        <v>0.93112405343261728</v>
      </c>
      <c r="U61" s="228">
        <v>0.3150470538430255</v>
      </c>
      <c r="V61" s="321">
        <v>0.72221134454397418</v>
      </c>
      <c r="W61" s="37">
        <v>0.65697455565627061</v>
      </c>
      <c r="X61" s="17"/>
      <c r="Y61" s="262">
        <v>1.7</v>
      </c>
    </row>
    <row r="62" spans="1:25" x14ac:dyDescent="0.35">
      <c r="A62" s="19"/>
      <c r="B62" s="76" t="s">
        <v>108</v>
      </c>
      <c r="C62" s="77"/>
      <c r="D62" s="29">
        <v>8.0526766607500175E-2</v>
      </c>
      <c r="E62" s="30">
        <v>3.2292499989247589E-2</v>
      </c>
      <c r="F62" s="31">
        <v>3.3888900390057118E-2</v>
      </c>
      <c r="G62" s="29">
        <v>3.5816553994993394E-2</v>
      </c>
      <c r="H62" s="30">
        <v>3.3419887625318077E-2</v>
      </c>
      <c r="I62" s="228">
        <v>3.5072021155327572E-2</v>
      </c>
      <c r="J62" s="223">
        <v>3.408652046172591E-2</v>
      </c>
      <c r="K62" s="30">
        <v>1.6589822850839053E-2</v>
      </c>
      <c r="L62" s="31">
        <v>1.7409951359231311E-2</v>
      </c>
      <c r="M62" s="29">
        <v>5.3265917426346183E-2</v>
      </c>
      <c r="N62" s="30">
        <v>4.4999999999999991E-2</v>
      </c>
      <c r="O62" s="228">
        <v>5.9352675584948014E-2</v>
      </c>
      <c r="P62" s="223">
        <v>0.28557966744863128</v>
      </c>
      <c r="Q62" s="30">
        <v>0.46517101843181163</v>
      </c>
      <c r="R62" s="31">
        <v>0.29555556453629528</v>
      </c>
      <c r="S62" s="29">
        <v>0.26683108935931416</v>
      </c>
      <c r="T62" s="30">
        <v>0.28760056212277002</v>
      </c>
      <c r="U62" s="228">
        <v>9.7310030222448482E-2</v>
      </c>
      <c r="V62" s="321">
        <v>0.39749448471711257</v>
      </c>
      <c r="W62" s="37">
        <v>0.14017301102133906</v>
      </c>
      <c r="X62" s="17"/>
      <c r="Y62" s="262">
        <v>0.12</v>
      </c>
    </row>
    <row r="63" spans="1:25" ht="15" thickBot="1" x14ac:dyDescent="0.4">
      <c r="A63" s="38"/>
      <c r="B63" s="91" t="s">
        <v>109</v>
      </c>
      <c r="C63" s="92"/>
      <c r="D63" s="41">
        <v>0</v>
      </c>
      <c r="E63" s="42"/>
      <c r="F63" s="43"/>
      <c r="G63" s="41">
        <v>0</v>
      </c>
      <c r="H63" s="42">
        <v>0</v>
      </c>
      <c r="I63" s="44">
        <v>0</v>
      </c>
      <c r="J63" s="224">
        <v>0</v>
      </c>
      <c r="K63" s="42">
        <v>0</v>
      </c>
      <c r="L63" s="43">
        <v>0</v>
      </c>
      <c r="M63" s="41">
        <v>0</v>
      </c>
      <c r="N63" s="42">
        <v>0</v>
      </c>
      <c r="O63" s="44">
        <v>0</v>
      </c>
      <c r="P63" s="224">
        <v>0</v>
      </c>
      <c r="Q63" s="42">
        <v>0</v>
      </c>
      <c r="R63" s="43">
        <v>0</v>
      </c>
      <c r="S63" s="41">
        <v>0</v>
      </c>
      <c r="T63" s="42">
        <v>0</v>
      </c>
      <c r="U63" s="44">
        <v>0</v>
      </c>
      <c r="V63" s="323"/>
      <c r="W63" s="45"/>
      <c r="X63" s="46"/>
      <c r="Y63" s="264">
        <v>0</v>
      </c>
    </row>
    <row r="64" spans="1:25" ht="15" thickTop="1" x14ac:dyDescent="0.35">
      <c r="A64" s="96" t="s">
        <v>110</v>
      </c>
      <c r="B64" s="90"/>
      <c r="C64" s="47"/>
      <c r="D64" s="48">
        <v>2.1341147721771478</v>
      </c>
      <c r="E64" s="49">
        <v>1.0368130657612942</v>
      </c>
      <c r="F64" s="50">
        <v>1.0880685831197214</v>
      </c>
      <c r="G64" s="48">
        <v>1.4581996447797028</v>
      </c>
      <c r="H64" s="49">
        <v>0.58201748663934427</v>
      </c>
      <c r="I64" s="229">
        <v>0.61078989352201296</v>
      </c>
      <c r="J64" s="225">
        <v>1.1523708001879864</v>
      </c>
      <c r="K64" s="49">
        <v>1.0612002115005863</v>
      </c>
      <c r="L64" s="50">
        <v>1.1136613230138719</v>
      </c>
      <c r="M64" s="48">
        <v>0.45236573577263639</v>
      </c>
      <c r="N64" s="49">
        <v>0.38216666666666671</v>
      </c>
      <c r="O64" s="229">
        <v>0.23505048264484174</v>
      </c>
      <c r="P64" s="225">
        <v>1.0741455008169496</v>
      </c>
      <c r="Q64" s="49">
        <v>1.0684806548188985</v>
      </c>
      <c r="R64" s="50">
        <v>0.67888021957112055</v>
      </c>
      <c r="S64" s="48">
        <v>1.1555602635106121</v>
      </c>
      <c r="T64" s="49">
        <v>0.93032562519767648</v>
      </c>
      <c r="U64" s="229">
        <v>0.31477690459471014</v>
      </c>
      <c r="V64" s="324">
        <v>0.75281906997945391</v>
      </c>
      <c r="W64" s="51">
        <v>0.60176695997245711</v>
      </c>
      <c r="X64" s="52"/>
      <c r="Y64" s="265">
        <v>1.88</v>
      </c>
    </row>
    <row r="65" spans="1:25" x14ac:dyDescent="0.35">
      <c r="A65" s="63" t="s">
        <v>111</v>
      </c>
      <c r="B65" s="64"/>
      <c r="C65" s="64"/>
      <c r="D65" s="29"/>
      <c r="E65" s="30"/>
      <c r="F65" s="31"/>
      <c r="G65" s="29"/>
      <c r="H65" s="30"/>
      <c r="I65" s="228"/>
      <c r="J65" s="223"/>
      <c r="K65" s="30"/>
      <c r="L65" s="31"/>
      <c r="M65" s="29"/>
      <c r="N65" s="30"/>
      <c r="O65" s="228"/>
      <c r="P65" s="223"/>
      <c r="Q65" s="30"/>
      <c r="R65" s="31"/>
      <c r="S65" s="29"/>
      <c r="T65" s="30"/>
      <c r="U65" s="228"/>
      <c r="V65" s="321"/>
      <c r="W65" s="37"/>
      <c r="X65" s="17"/>
      <c r="Y65" s="262"/>
    </row>
    <row r="66" spans="1:25" x14ac:dyDescent="0.35">
      <c r="A66" s="19"/>
      <c r="B66" s="76" t="s">
        <v>112</v>
      </c>
      <c r="C66" s="77"/>
      <c r="D66" s="29">
        <v>8.6123221429643043E-2</v>
      </c>
      <c r="E66" s="30">
        <v>4.2624002106272874E-2</v>
      </c>
      <c r="F66" s="31">
        <v>4.4731146925324275E-2</v>
      </c>
      <c r="G66" s="29">
        <v>0.22497272978105226</v>
      </c>
      <c r="H66" s="30">
        <v>0.15187714333192689</v>
      </c>
      <c r="I66" s="228">
        <v>0.15938528709811489</v>
      </c>
      <c r="J66" s="223">
        <v>0.18111030751350751</v>
      </c>
      <c r="K66" s="30">
        <v>0.2463405501874725</v>
      </c>
      <c r="L66" s="31">
        <v>0.2585185529183191</v>
      </c>
      <c r="M66" s="29">
        <v>0.11245027012228642</v>
      </c>
      <c r="N66" s="30">
        <v>9.5000000000000015E-2</v>
      </c>
      <c r="O66" s="228">
        <v>8.1514424975662025E-2</v>
      </c>
      <c r="P66" s="223">
        <v>0.12503333011615927</v>
      </c>
      <c r="Q66" s="30">
        <v>0.15298390892145775</v>
      </c>
      <c r="R66" s="31">
        <v>9.7201338378045649E-2</v>
      </c>
      <c r="S66" s="29">
        <v>0.13483293054756876</v>
      </c>
      <c r="T66" s="30">
        <v>0.15522778960826142</v>
      </c>
      <c r="U66" s="228">
        <v>5.252152772808464E-2</v>
      </c>
      <c r="V66" s="321">
        <v>0.83817456537941937</v>
      </c>
      <c r="W66" s="37">
        <v>0.13577313224357704</v>
      </c>
      <c r="X66" s="17"/>
      <c r="Y66" s="262">
        <v>0.15</v>
      </c>
    </row>
    <row r="67" spans="1:25" ht="15" thickBot="1" x14ac:dyDescent="0.4">
      <c r="A67" s="38"/>
      <c r="B67" s="91" t="s">
        <v>113</v>
      </c>
      <c r="C67" s="92"/>
      <c r="D67" s="41">
        <v>0.80091486788000188</v>
      </c>
      <c r="E67" s="42">
        <v>0.44137952930430396</v>
      </c>
      <c r="F67" s="43">
        <v>0.46319940877245075</v>
      </c>
      <c r="G67" s="41">
        <v>1.723391844180971</v>
      </c>
      <c r="H67" s="42">
        <v>1.194456326814282</v>
      </c>
      <c r="I67" s="44">
        <v>1.2535050396581533</v>
      </c>
      <c r="J67" s="224">
        <v>0.58953253160009067</v>
      </c>
      <c r="K67" s="42">
        <v>0.42307436304586782</v>
      </c>
      <c r="L67" s="43">
        <v>0.44398931490662635</v>
      </c>
      <c r="M67" s="41">
        <v>0.42810015116730088</v>
      </c>
      <c r="N67" s="42">
        <v>0.36166666666666664</v>
      </c>
      <c r="O67" s="44">
        <v>0.50755256728405651</v>
      </c>
      <c r="P67" s="224">
        <v>0.61809356133189608</v>
      </c>
      <c r="Q67" s="42">
        <v>0.859912021137757</v>
      </c>
      <c r="R67" s="43">
        <v>0.54636203200215494</v>
      </c>
      <c r="S67" s="41">
        <v>0.68892608469065686</v>
      </c>
      <c r="T67" s="42">
        <v>0.79546845404527078</v>
      </c>
      <c r="U67" s="44">
        <v>0.26914780253839143</v>
      </c>
      <c r="V67" s="323">
        <v>0.70777823646488069</v>
      </c>
      <c r="W67" s="45">
        <v>0.86670785748270096</v>
      </c>
      <c r="X67" s="46"/>
      <c r="Y67" s="264">
        <v>0.3</v>
      </c>
    </row>
    <row r="68" spans="1:25" ht="15" thickTop="1" x14ac:dyDescent="0.35">
      <c r="A68" s="109" t="s">
        <v>114</v>
      </c>
      <c r="B68" s="112"/>
      <c r="C68" s="97"/>
      <c r="D68" s="48">
        <v>0.88703808930964501</v>
      </c>
      <c r="E68" s="49">
        <v>0.4313134011365749</v>
      </c>
      <c r="F68" s="50">
        <v>0.45263565511747494</v>
      </c>
      <c r="G68" s="48">
        <v>1.95</v>
      </c>
      <c r="H68" s="49">
        <v>1.3286117755010303</v>
      </c>
      <c r="I68" s="229">
        <v>1.3942925487962639</v>
      </c>
      <c r="J68" s="225">
        <v>0.77064283911359821</v>
      </c>
      <c r="K68" s="49">
        <v>0.60412022810033439</v>
      </c>
      <c r="L68" s="50">
        <v>0.63398529815058258</v>
      </c>
      <c r="M68" s="48">
        <v>0.5405504212895873</v>
      </c>
      <c r="N68" s="49">
        <v>0.45666666666666661</v>
      </c>
      <c r="O68" s="229">
        <v>0.56447726527642317</v>
      </c>
      <c r="P68" s="225">
        <v>0.74312689144805544</v>
      </c>
      <c r="Q68" s="49">
        <v>0.83308562530944086</v>
      </c>
      <c r="R68" s="50">
        <v>0.52931735327250973</v>
      </c>
      <c r="S68" s="48">
        <v>0.8237590152382257</v>
      </c>
      <c r="T68" s="49">
        <v>0.84877091764529244</v>
      </c>
      <c r="U68" s="229">
        <v>0.28718276153000466</v>
      </c>
      <c r="V68" s="324">
        <v>0.69933659260391501</v>
      </c>
      <c r="W68" s="51">
        <v>0.60730697714409199</v>
      </c>
      <c r="X68" s="52"/>
      <c r="Y68" s="265">
        <v>0.45</v>
      </c>
    </row>
    <row r="69" spans="1:25" x14ac:dyDescent="0.35">
      <c r="A69" s="63" t="s">
        <v>115</v>
      </c>
      <c r="B69" s="64"/>
      <c r="C69" s="64"/>
      <c r="D69" s="29"/>
      <c r="E69" s="30"/>
      <c r="F69" s="31"/>
      <c r="G69" s="29"/>
      <c r="H69" s="30"/>
      <c r="I69" s="228"/>
      <c r="J69" s="223"/>
      <c r="K69" s="30"/>
      <c r="L69" s="31"/>
      <c r="M69" s="29"/>
      <c r="N69" s="30"/>
      <c r="O69" s="228"/>
      <c r="P69" s="223"/>
      <c r="Q69" s="30"/>
      <c r="R69" s="31"/>
      <c r="S69" s="29"/>
      <c r="T69" s="30"/>
      <c r="U69" s="228"/>
      <c r="V69" s="321"/>
      <c r="W69" s="37"/>
      <c r="X69" s="17"/>
      <c r="Y69" s="262"/>
    </row>
    <row r="70" spans="1:25" x14ac:dyDescent="0.35">
      <c r="A70" s="19"/>
      <c r="B70" s="71" t="s">
        <v>116</v>
      </c>
      <c r="C70" s="72"/>
      <c r="D70" s="29">
        <v>0.71852261633178727</v>
      </c>
      <c r="E70" s="30">
        <v>0.17742079610036968</v>
      </c>
      <c r="F70" s="31">
        <v>0.18619170668644647</v>
      </c>
      <c r="G70" s="29">
        <v>0.57950065096586967</v>
      </c>
      <c r="H70" s="30">
        <v>0.11284268794309268</v>
      </c>
      <c r="I70" s="228">
        <v>0.1184211384291424</v>
      </c>
      <c r="J70" s="223">
        <v>0.49076375845496933</v>
      </c>
      <c r="K70" s="30">
        <v>0.1368912788391658</v>
      </c>
      <c r="L70" s="31">
        <v>0.14365858680475962</v>
      </c>
      <c r="M70" s="29">
        <v>0.411923094763744</v>
      </c>
      <c r="N70" s="30">
        <v>0.34800000000000009</v>
      </c>
      <c r="O70" s="228">
        <v>8.5651779905773953E-2</v>
      </c>
      <c r="P70" s="223">
        <v>0.20963495395557463</v>
      </c>
      <c r="Q70" s="30">
        <v>5.8684833834835415E-2</v>
      </c>
      <c r="R70" s="31">
        <v>3.7286564524689918E-2</v>
      </c>
      <c r="S70" s="29">
        <v>0.26822424696454733</v>
      </c>
      <c r="T70" s="30">
        <v>0.14581358331872527</v>
      </c>
      <c r="U70" s="228">
        <v>4.9336218590322709E-2</v>
      </c>
      <c r="V70" s="321">
        <v>3.4496174061031297E-3</v>
      </c>
      <c r="W70" s="37">
        <v>0.19416315975943646</v>
      </c>
      <c r="X70" s="17" t="s">
        <v>53</v>
      </c>
      <c r="Y70" s="262">
        <v>0.88</v>
      </c>
    </row>
    <row r="71" spans="1:25" x14ac:dyDescent="0.35">
      <c r="A71" s="19"/>
      <c r="B71" s="76" t="s">
        <v>117</v>
      </c>
      <c r="C71" s="77"/>
      <c r="D71" s="29">
        <v>8.7373096339921617</v>
      </c>
      <c r="E71" s="30">
        <v>1.4212161067980555</v>
      </c>
      <c r="F71" s="31">
        <v>1.4914748344680975</v>
      </c>
      <c r="G71" s="29">
        <v>8.3405001947560002</v>
      </c>
      <c r="H71" s="30">
        <v>3.8543620491017125</v>
      </c>
      <c r="I71" s="228">
        <v>4.0449049033898543</v>
      </c>
      <c r="J71" s="223">
        <v>15.641770354625773</v>
      </c>
      <c r="K71" s="30">
        <v>7.7834701044371393</v>
      </c>
      <c r="L71" s="31">
        <v>8.1682509296612551</v>
      </c>
      <c r="M71" s="29">
        <v>10.925431507670565</v>
      </c>
      <c r="N71" s="30">
        <v>9.23</v>
      </c>
      <c r="O71" s="228">
        <v>3.1294128550859313</v>
      </c>
      <c r="P71" s="223">
        <v>9.9375428337326319</v>
      </c>
      <c r="Q71" s="30">
        <v>5.3145172536072254</v>
      </c>
      <c r="R71" s="31">
        <v>3.3766831657377119</v>
      </c>
      <c r="S71" s="29">
        <v>10.539253889260769</v>
      </c>
      <c r="T71" s="30">
        <v>5.5814515224425731</v>
      </c>
      <c r="U71" s="228">
        <v>1.8884914978092699</v>
      </c>
      <c r="V71" s="321">
        <v>0.10134578470131257</v>
      </c>
      <c r="W71" s="37">
        <v>0.98397851021112026</v>
      </c>
      <c r="X71" s="17"/>
      <c r="Y71" s="262">
        <v>8.64</v>
      </c>
    </row>
    <row r="72" spans="1:25" x14ac:dyDescent="0.35">
      <c r="A72" s="19"/>
      <c r="B72" s="71" t="s">
        <v>118</v>
      </c>
      <c r="C72" s="72"/>
      <c r="D72" s="29"/>
      <c r="E72" s="30"/>
      <c r="F72" s="31"/>
      <c r="G72" s="29"/>
      <c r="H72" s="30"/>
      <c r="I72" s="228"/>
      <c r="J72" s="223"/>
      <c r="K72" s="30"/>
      <c r="L72" s="31"/>
      <c r="M72" s="29"/>
      <c r="N72" s="30"/>
      <c r="O72" s="228"/>
      <c r="P72" s="223"/>
      <c r="Q72" s="30"/>
      <c r="R72" s="31"/>
      <c r="S72" s="29"/>
      <c r="T72" s="30"/>
      <c r="U72" s="228"/>
      <c r="V72" s="321"/>
      <c r="W72" s="37"/>
      <c r="X72" s="17"/>
      <c r="Y72" s="262"/>
    </row>
    <row r="73" spans="1:25" x14ac:dyDescent="0.35">
      <c r="A73" s="19"/>
      <c r="B73" s="85"/>
      <c r="C73" s="86" t="s">
        <v>119</v>
      </c>
      <c r="D73" s="29">
        <v>3.4101686544570788</v>
      </c>
      <c r="E73" s="30">
        <v>1.4969421294388401</v>
      </c>
      <c r="F73" s="31">
        <v>1.5709444214949067</v>
      </c>
      <c r="G73" s="29">
        <v>2.4514711073239637</v>
      </c>
      <c r="H73" s="30">
        <v>0.51438901218643795</v>
      </c>
      <c r="I73" s="228">
        <v>0.53981816215933787</v>
      </c>
      <c r="J73" s="223">
        <v>3.4508525175913465</v>
      </c>
      <c r="K73" s="30">
        <v>1.273487002765102</v>
      </c>
      <c r="L73" s="31">
        <v>1.3364426476460145</v>
      </c>
      <c r="M73" s="29">
        <v>2.1079099056186066</v>
      </c>
      <c r="N73" s="30">
        <v>1.7807999999999999</v>
      </c>
      <c r="O73" s="228">
        <v>0.48977983181329748</v>
      </c>
      <c r="P73" s="223">
        <v>3.2248368275923394</v>
      </c>
      <c r="Q73" s="30">
        <v>3.5100696322232054</v>
      </c>
      <c r="R73" s="31">
        <v>2.2301918447344309</v>
      </c>
      <c r="S73" s="29">
        <v>3.3246501963432777</v>
      </c>
      <c r="T73" s="30">
        <v>2.2646324494533983</v>
      </c>
      <c r="U73" s="228">
        <v>0.76624138170139</v>
      </c>
      <c r="V73" s="321">
        <v>0.79837855186461382</v>
      </c>
      <c r="W73" s="37">
        <v>3.6782398354432394E-2</v>
      </c>
      <c r="X73" s="17"/>
      <c r="Y73" s="262">
        <v>4.55</v>
      </c>
    </row>
    <row r="74" spans="1:25" x14ac:dyDescent="0.35">
      <c r="A74" s="19"/>
      <c r="B74" s="85"/>
      <c r="C74" s="87" t="s">
        <v>120</v>
      </c>
      <c r="D74" s="29">
        <v>1.4953105456452174</v>
      </c>
      <c r="E74" s="30">
        <v>0.50932805952767057</v>
      </c>
      <c r="F74" s="31">
        <v>0.53450701806740109</v>
      </c>
      <c r="G74" s="29">
        <v>5.6402678037272027</v>
      </c>
      <c r="H74" s="30">
        <v>3.0510448346973416</v>
      </c>
      <c r="I74" s="228">
        <v>3.2018751884519436</v>
      </c>
      <c r="J74" s="223">
        <v>3.6907727289159573</v>
      </c>
      <c r="K74" s="30">
        <v>1.5118272658829657</v>
      </c>
      <c r="L74" s="31">
        <v>1.586565414184087</v>
      </c>
      <c r="M74" s="29">
        <v>2.787851204868415</v>
      </c>
      <c r="N74" s="30">
        <v>2.355226574151287</v>
      </c>
      <c r="O74" s="228">
        <v>1.2102120286210503</v>
      </c>
      <c r="P74" s="223">
        <v>4.8131437785942746</v>
      </c>
      <c r="Q74" s="30">
        <v>3.7426072490756122</v>
      </c>
      <c r="R74" s="31">
        <v>2.3779391976465565</v>
      </c>
      <c r="S74" s="29">
        <v>4.8582054430593411</v>
      </c>
      <c r="T74" s="30">
        <v>2.8541927930456819</v>
      </c>
      <c r="U74" s="228">
        <v>0.96571990298617183</v>
      </c>
      <c r="V74" s="321">
        <v>0.22068644419384581</v>
      </c>
      <c r="W74" s="37">
        <v>0.82581808096673648</v>
      </c>
      <c r="X74" s="17"/>
      <c r="Y74" s="262">
        <v>2.0299999999999998</v>
      </c>
    </row>
    <row r="75" spans="1:25" ht="15" thickBot="1" x14ac:dyDescent="0.4">
      <c r="A75" s="19"/>
      <c r="B75" s="85"/>
      <c r="C75" s="87" t="s">
        <v>121</v>
      </c>
      <c r="D75" s="29">
        <v>0.41622078168903659</v>
      </c>
      <c r="E75" s="30">
        <v>0.25276306703226159</v>
      </c>
      <c r="F75" s="31">
        <v>0.2652585709930731</v>
      </c>
      <c r="G75" s="29">
        <v>0.17698414376432278</v>
      </c>
      <c r="H75" s="30">
        <v>0.17405995534744792</v>
      </c>
      <c r="I75" s="228">
        <v>0.18266472062031552</v>
      </c>
      <c r="J75" s="223">
        <v>0.30536183481103968</v>
      </c>
      <c r="K75" s="30">
        <v>0.263862045710759</v>
      </c>
      <c r="L75" s="31">
        <v>0.27690623478473392</v>
      </c>
      <c r="M75" s="29">
        <v>0.55512950017035378</v>
      </c>
      <c r="N75" s="30">
        <v>0.46898333333333331</v>
      </c>
      <c r="O75" s="228">
        <v>0.63049912288270971</v>
      </c>
      <c r="P75" s="223">
        <v>0.20389975085111195</v>
      </c>
      <c r="Q75" s="30">
        <v>0.30493646640188288</v>
      </c>
      <c r="R75" s="31">
        <v>0.19374738731347438</v>
      </c>
      <c r="S75" s="29">
        <v>0.23845504453779548</v>
      </c>
      <c r="T75" s="30">
        <v>0.36292370064833734</v>
      </c>
      <c r="U75" s="228">
        <v>0.12279571367269068</v>
      </c>
      <c r="V75" s="327">
        <v>0.39623983437881338</v>
      </c>
      <c r="W75" s="45">
        <v>5.7019805054245781E-2</v>
      </c>
      <c r="X75" s="335"/>
      <c r="Y75" s="262">
        <v>6.34</v>
      </c>
    </row>
    <row r="76" spans="1:25" ht="15.5" thickTop="1" thickBot="1" x14ac:dyDescent="0.4">
      <c r="A76" s="19"/>
      <c r="B76" s="85"/>
      <c r="C76" s="87" t="s">
        <v>224</v>
      </c>
      <c r="D76" s="41">
        <v>0.74868128954000179</v>
      </c>
      <c r="E76" s="42">
        <v>0.38257664446341838</v>
      </c>
      <c r="F76" s="43">
        <v>0.40148956569172606</v>
      </c>
      <c r="G76" s="41">
        <v>0.38810594055512365</v>
      </c>
      <c r="H76" s="42">
        <v>7.9015645426853368E-2</v>
      </c>
      <c r="I76" s="44">
        <v>8.2921834420324081E-2</v>
      </c>
      <c r="J76" s="224">
        <v>0.2956902979812368</v>
      </c>
      <c r="K76" s="42">
        <v>6.2449979983983904E-2</v>
      </c>
      <c r="L76" s="43">
        <v>6.5537234705983591E-2</v>
      </c>
      <c r="M76" s="41">
        <v>0.34721486914951594</v>
      </c>
      <c r="N76" s="42">
        <v>0.29333333333333339</v>
      </c>
      <c r="O76" s="44">
        <v>0.11215822092164883</v>
      </c>
      <c r="P76" s="224">
        <v>0.29777804111850048</v>
      </c>
      <c r="Q76" s="42">
        <v>8.7277455088165132E-2</v>
      </c>
      <c r="R76" s="43">
        <v>5.5453449350381406E-2</v>
      </c>
      <c r="S76" s="41">
        <v>0.96721145326988678</v>
      </c>
      <c r="T76" s="42">
        <v>0.18419830463958875</v>
      </c>
      <c r="U76" s="44">
        <v>6.2323739769850207E-2</v>
      </c>
      <c r="V76" s="328">
        <v>0.51008209019844908</v>
      </c>
      <c r="W76" s="219"/>
      <c r="X76" s="46"/>
      <c r="Y76" s="336"/>
    </row>
    <row r="77" spans="1:25" ht="15.5" thickTop="1" thickBot="1" x14ac:dyDescent="0.4">
      <c r="A77" s="98" t="s">
        <v>122</v>
      </c>
      <c r="B77" s="99"/>
      <c r="C77" s="100"/>
      <c r="D77" s="48">
        <v>14.777532232115281</v>
      </c>
      <c r="E77" s="49">
        <v>3.186166171513972</v>
      </c>
      <c r="F77" s="50">
        <v>3.3436763350177046</v>
      </c>
      <c r="G77" s="48">
        <v>17.188723900537362</v>
      </c>
      <c r="H77" s="49">
        <v>6.5133419465710274</v>
      </c>
      <c r="I77" s="229">
        <v>6.8353331735611258</v>
      </c>
      <c r="J77" s="225">
        <v>23.579521194399085</v>
      </c>
      <c r="K77" s="49">
        <v>9.0738176908670809</v>
      </c>
      <c r="L77" s="50">
        <v>9.5223876747146008</v>
      </c>
      <c r="M77" s="48">
        <v>16.788245213091681</v>
      </c>
      <c r="N77" s="49">
        <v>14.183009907484619</v>
      </c>
      <c r="O77" s="229">
        <v>2.313915552583437</v>
      </c>
      <c r="P77" s="225">
        <v>18.842955694022518</v>
      </c>
      <c r="Q77" s="49">
        <v>8.1966669919809831</v>
      </c>
      <c r="R77" s="50">
        <v>5.2079137438483309</v>
      </c>
      <c r="S77" s="48">
        <v>19.641206409089421</v>
      </c>
      <c r="T77" s="49">
        <v>7.738643455975045</v>
      </c>
      <c r="U77" s="229">
        <v>2.6183802389795967</v>
      </c>
      <c r="V77" s="324">
        <v>6.8420688055515211E-2</v>
      </c>
      <c r="W77" s="51">
        <v>0.12790838154287509</v>
      </c>
      <c r="X77" s="52"/>
      <c r="Y77" s="267">
        <v>22.44</v>
      </c>
    </row>
    <row r="78" spans="1:25" ht="15.5" thickTop="1" thickBot="1" x14ac:dyDescent="0.4">
      <c r="A78" s="101" t="s">
        <v>123</v>
      </c>
      <c r="B78" s="102"/>
      <c r="C78" s="103"/>
      <c r="D78" s="104"/>
      <c r="E78" s="105"/>
      <c r="F78" s="106"/>
      <c r="G78" s="104">
        <v>167.85169029443836</v>
      </c>
      <c r="H78" s="105"/>
      <c r="I78" s="230"/>
      <c r="J78" s="226">
        <v>129.83006535947709</v>
      </c>
      <c r="K78" s="105"/>
      <c r="L78" s="106"/>
      <c r="M78" s="104">
        <v>117.17377466581797</v>
      </c>
      <c r="N78" s="105"/>
      <c r="O78" s="230"/>
      <c r="P78" s="226">
        <v>119.21658986175116</v>
      </c>
      <c r="Q78" s="105"/>
      <c r="R78" s="106"/>
      <c r="S78" s="104">
        <v>129.88699174931389</v>
      </c>
      <c r="T78" s="105"/>
      <c r="U78" s="230"/>
      <c r="V78" s="233"/>
      <c r="W78" s="107"/>
      <c r="X78" s="108"/>
      <c r="Y78" s="265">
        <v>144.07</v>
      </c>
    </row>
    <row r="79" spans="1:25" x14ac:dyDescent="0.35">
      <c r="A79" t="s">
        <v>124</v>
      </c>
    </row>
    <row r="89" spans="8:8" x14ac:dyDescent="0.35">
      <c r="H89" s="129"/>
    </row>
    <row r="102" spans="4:5" x14ac:dyDescent="0.35">
      <c r="D102" s="130"/>
      <c r="E102" s="120"/>
    </row>
    <row r="103" spans="4:5" x14ac:dyDescent="0.35">
      <c r="D103" s="130"/>
      <c r="E103" s="120"/>
    </row>
    <row r="104" spans="4:5" x14ac:dyDescent="0.35">
      <c r="D104" s="130"/>
      <c r="E104" s="120"/>
    </row>
    <row r="105" spans="4:5" x14ac:dyDescent="0.35">
      <c r="D105" s="130"/>
      <c r="E105" s="120"/>
    </row>
    <row r="107" spans="4:5" x14ac:dyDescent="0.35">
      <c r="E107" s="120"/>
    </row>
  </sheetData>
  <mergeCells count="8">
    <mergeCell ref="V1:X1"/>
    <mergeCell ref="V2:X2"/>
    <mergeCell ref="S1:U1"/>
    <mergeCell ref="B16:C16"/>
    <mergeCell ref="D1:F1"/>
    <mergeCell ref="G1:I1"/>
    <mergeCell ref="J1:L1"/>
    <mergeCell ref="M1:O1"/>
  </mergeCells>
  <pageMargins left="0.7" right="0.7" top="0.75" bottom="0.75" header="0.3" footer="0.3"/>
  <pageSetup paperSize="9" orientation="portrait" horizontalDpi="300" verticalDpi="300" r:id="rId1"/>
  <ignoredErrors>
    <ignoredError sqref="V4:W4 V79:X80 V7:W7 W77:W78 W8:W75 S79:U80 U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074F-7C05-445F-843B-6EDBD5ED5E15}">
  <sheetPr>
    <pageSetUpPr fitToPage="1"/>
  </sheetPr>
  <dimension ref="A1:U78"/>
  <sheetViews>
    <sheetView tabSelected="1" workbookViewId="0">
      <pane xSplit="3" ySplit="1" topLeftCell="D2" activePane="bottomRight" state="frozen"/>
      <selection pane="topRight" activeCell="D1" sqref="D1"/>
      <selection pane="bottomLeft" activeCell="A2" sqref="A2"/>
      <selection pane="bottomRight" activeCell="S5" sqref="S5:S78"/>
    </sheetView>
  </sheetViews>
  <sheetFormatPr defaultRowHeight="14.5" x14ac:dyDescent="0.35"/>
  <cols>
    <col min="1" max="2" width="2.453125" customWidth="1"/>
    <col min="3" max="3" width="41.08984375" bestFit="1" customWidth="1"/>
    <col min="4" max="4" width="7.90625" bestFit="1" customWidth="1"/>
    <col min="5" max="5" width="9.08984375" customWidth="1"/>
    <col min="6" max="6" width="10.6328125" customWidth="1"/>
    <col min="9" max="9" width="12" customWidth="1"/>
    <col min="10" max="10" width="7.90625" bestFit="1" customWidth="1"/>
    <col min="12" max="12" width="8.90625" bestFit="1" customWidth="1"/>
    <col min="13" max="13" width="7.90625" bestFit="1" customWidth="1"/>
    <col min="15" max="15" width="8.6328125" customWidth="1"/>
    <col min="16" max="16" width="7.54296875" customWidth="1"/>
    <col min="18" max="18" width="9" customWidth="1"/>
    <col min="19" max="19" width="7.54296875" customWidth="1"/>
    <col min="21" max="21" width="10.453125" customWidth="1"/>
  </cols>
  <sheetData>
    <row r="1" spans="1:21" x14ac:dyDescent="0.35">
      <c r="D1" s="314" t="s">
        <v>6</v>
      </c>
      <c r="E1" s="315"/>
      <c r="F1" s="319"/>
      <c r="G1" s="314" t="s">
        <v>32</v>
      </c>
      <c r="H1" s="315"/>
      <c r="I1" s="319"/>
      <c r="J1" s="314" t="s">
        <v>35</v>
      </c>
      <c r="K1" s="315"/>
      <c r="L1" s="319"/>
      <c r="M1" s="314" t="s">
        <v>38</v>
      </c>
      <c r="N1" s="315"/>
      <c r="O1" s="319"/>
      <c r="P1" s="1" t="s">
        <v>9</v>
      </c>
      <c r="Q1" s="2"/>
      <c r="R1" s="3"/>
      <c r="S1" s="314" t="s">
        <v>43</v>
      </c>
      <c r="T1" s="315"/>
      <c r="U1" s="316"/>
    </row>
    <row r="2" spans="1:21" ht="43.5" x14ac:dyDescent="0.35">
      <c r="D2" s="8" t="s">
        <v>125</v>
      </c>
      <c r="E2" s="6" t="s">
        <v>126</v>
      </c>
      <c r="F2" s="7" t="s">
        <v>127</v>
      </c>
      <c r="G2" s="8" t="s">
        <v>125</v>
      </c>
      <c r="H2" s="6" t="s">
        <v>126</v>
      </c>
      <c r="I2" s="7" t="s">
        <v>127</v>
      </c>
      <c r="J2" s="8" t="s">
        <v>125</v>
      </c>
      <c r="K2" s="6" t="s">
        <v>126</v>
      </c>
      <c r="L2" s="7" t="s">
        <v>127</v>
      </c>
      <c r="M2" s="8" t="s">
        <v>125</v>
      </c>
      <c r="N2" s="6" t="s">
        <v>126</v>
      </c>
      <c r="O2" s="7" t="s">
        <v>127</v>
      </c>
      <c r="P2" s="8" t="s">
        <v>125</v>
      </c>
      <c r="Q2" s="6" t="s">
        <v>126</v>
      </c>
      <c r="R2" s="7" t="s">
        <v>127</v>
      </c>
      <c r="S2" s="8" t="s">
        <v>125</v>
      </c>
      <c r="T2" s="6" t="s">
        <v>126</v>
      </c>
      <c r="U2" s="113" t="s">
        <v>127</v>
      </c>
    </row>
    <row r="3" spans="1:21" x14ac:dyDescent="0.35">
      <c r="A3" s="10" t="s">
        <v>49</v>
      </c>
      <c r="B3" s="11"/>
      <c r="C3" s="11"/>
      <c r="D3" s="114"/>
      <c r="E3" s="115"/>
      <c r="F3" s="116"/>
      <c r="G3" s="114"/>
      <c r="H3" s="115"/>
      <c r="I3" s="116"/>
      <c r="J3" s="114"/>
      <c r="K3" s="115"/>
      <c r="L3" s="116"/>
      <c r="M3" s="114"/>
      <c r="N3" s="115"/>
      <c r="O3" s="116"/>
      <c r="P3" s="114"/>
      <c r="Q3" s="115"/>
      <c r="R3" s="116"/>
      <c r="S3" s="114"/>
      <c r="T3" s="115"/>
      <c r="U3" s="117"/>
    </row>
    <row r="4" spans="1:21" x14ac:dyDescent="0.35">
      <c r="A4" s="19"/>
      <c r="B4" s="20" t="s">
        <v>128</v>
      </c>
      <c r="C4" s="21"/>
      <c r="D4" s="114"/>
      <c r="E4" s="115"/>
      <c r="F4" s="116"/>
      <c r="G4" s="114"/>
      <c r="H4" s="115"/>
      <c r="I4" s="116"/>
      <c r="J4" s="114"/>
      <c r="K4" s="115"/>
      <c r="L4" s="116"/>
      <c r="M4" s="114"/>
      <c r="N4" s="115"/>
      <c r="O4" s="116"/>
      <c r="P4" s="114"/>
      <c r="Q4" s="115"/>
      <c r="R4" s="116"/>
      <c r="S4" s="114"/>
      <c r="T4" s="115"/>
      <c r="U4" s="117"/>
    </row>
    <row r="5" spans="1:21" x14ac:dyDescent="0.35">
      <c r="A5" s="19"/>
      <c r="B5" s="27"/>
      <c r="C5" s="28" t="s">
        <v>51</v>
      </c>
      <c r="D5" s="124">
        <f>0.139356998989064*100</f>
        <v>13.935699898906401</v>
      </c>
      <c r="E5" s="249">
        <v>0.22305555126229606</v>
      </c>
      <c r="F5" s="255">
        <v>0.23408244517129925</v>
      </c>
      <c r="G5" s="121">
        <f>0.15200477262857*100</f>
        <v>15.200477262857001</v>
      </c>
      <c r="H5" s="249">
        <v>0.29321246825224201</v>
      </c>
      <c r="I5" s="255">
        <v>0.30770761424577264</v>
      </c>
      <c r="J5" s="121">
        <f>0.171278835834569*100</f>
        <v>17.127883583456899</v>
      </c>
      <c r="K5" s="249">
        <v>0.31499587877137541</v>
      </c>
      <c r="L5" s="255">
        <v>0.33056790160303634</v>
      </c>
      <c r="M5" s="121">
        <f>0.170095444902684*100</f>
        <v>17.0095444902684</v>
      </c>
      <c r="N5" s="249">
        <v>0.13803026210635272</v>
      </c>
      <c r="O5" s="255">
        <v>0.14485387643859074</v>
      </c>
      <c r="P5" s="121">
        <f>0.157249390581813*100</f>
        <v>15.724939058181301</v>
      </c>
      <c r="Q5" s="249">
        <v>0.31946495337895514</v>
      </c>
      <c r="R5" s="255">
        <v>0.20297834754148406</v>
      </c>
      <c r="S5" s="121">
        <f>0.156951265389672*100</f>
        <v>15.6951265389672</v>
      </c>
      <c r="T5" s="249">
        <v>0.28736358666548173</v>
      </c>
      <c r="U5" s="243">
        <v>9.7229849263341536E-2</v>
      </c>
    </row>
    <row r="6" spans="1:21" x14ac:dyDescent="0.35">
      <c r="A6" s="19"/>
      <c r="B6" s="27"/>
      <c r="C6" s="33" t="s">
        <v>52</v>
      </c>
      <c r="D6" s="121">
        <f>0.193875528326944*100</f>
        <v>19.3875528326944</v>
      </c>
      <c r="E6" s="249">
        <v>0.28092248774648471</v>
      </c>
      <c r="F6" s="255">
        <v>0.29481007068940407</v>
      </c>
      <c r="G6" s="121">
        <f>0.209478587011361*100</f>
        <v>20.947858701136099</v>
      </c>
      <c r="H6" s="249">
        <v>0.20083055783259482</v>
      </c>
      <c r="I6" s="255">
        <v>0.21075874496971669</v>
      </c>
      <c r="J6" s="121">
        <f>0.144822618513765*100</f>
        <v>14.482261851376499</v>
      </c>
      <c r="K6" s="249">
        <v>0.51217521227884721</v>
      </c>
      <c r="L6" s="255">
        <v>0.53749492163671375</v>
      </c>
      <c r="M6" s="121">
        <f>0.149019853717572*100</f>
        <v>14.901985371757201</v>
      </c>
      <c r="N6" s="249">
        <v>0.406119800610038</v>
      </c>
      <c r="O6" s="255">
        <v>0.4261965928276249</v>
      </c>
      <c r="P6" s="121">
        <f>0.173977942935625*100</f>
        <v>17.397794293562498</v>
      </c>
      <c r="Q6" s="249">
        <v>0.30369719093804076</v>
      </c>
      <c r="R6" s="255">
        <v>0.19295998924949651</v>
      </c>
      <c r="S6" s="121">
        <f>0.174983368048032*100</f>
        <v>17.498336804803198</v>
      </c>
      <c r="T6" s="249">
        <v>0.35301662622221919</v>
      </c>
      <c r="U6" s="243">
        <v>0.11944364194965257</v>
      </c>
    </row>
    <row r="7" spans="1:21" x14ac:dyDescent="0.35">
      <c r="A7" s="19"/>
      <c r="B7" s="20" t="s">
        <v>129</v>
      </c>
      <c r="C7" s="21"/>
      <c r="D7" s="114"/>
      <c r="E7" s="249"/>
      <c r="F7" s="255"/>
      <c r="G7" s="121"/>
      <c r="H7" s="249"/>
      <c r="I7" s="255"/>
      <c r="J7" s="121"/>
      <c r="K7" s="249"/>
      <c r="L7" s="255"/>
      <c r="M7" s="121"/>
      <c r="N7" s="249"/>
      <c r="O7" s="255"/>
      <c r="P7" s="121"/>
      <c r="Q7" s="249"/>
      <c r="R7" s="255"/>
      <c r="S7" s="121"/>
      <c r="T7" s="249"/>
      <c r="U7" s="243"/>
    </row>
    <row r="8" spans="1:21" x14ac:dyDescent="0.35">
      <c r="A8" s="19"/>
      <c r="B8" s="34"/>
      <c r="C8" s="35" t="s">
        <v>55</v>
      </c>
      <c r="D8" s="121">
        <f>0.00508318494686597*100</f>
        <v>0.50831849468659707</v>
      </c>
      <c r="E8" s="249">
        <v>2.0244617236260511</v>
      </c>
      <c r="F8" s="255">
        <v>2.1245422843784332</v>
      </c>
      <c r="G8" s="121">
        <f>0.00177397222528991*100</f>
        <v>0.17739722252899098</v>
      </c>
      <c r="H8" s="249">
        <v>1.0923872184998247</v>
      </c>
      <c r="I8" s="255">
        <v>1.1463900796605582</v>
      </c>
      <c r="J8" s="121">
        <f>0.000882313198684506*100</f>
        <v>8.8231319868450606E-2</v>
      </c>
      <c r="K8" s="249">
        <v>0.69847340829443949</v>
      </c>
      <c r="L8" s="255">
        <v>0.73300288818380444</v>
      </c>
      <c r="M8" s="121">
        <f>0.00329566289473848*100</f>
        <v>0.32956628947384797</v>
      </c>
      <c r="N8" s="261">
        <v>1.5530982517141247</v>
      </c>
      <c r="O8" s="255">
        <v>1.6298766576089476</v>
      </c>
      <c r="P8" s="121">
        <f>0.000214544260525338*100</f>
        <v>2.1454426052533802E-2</v>
      </c>
      <c r="Q8" s="249">
        <v>2.1716298789989366</v>
      </c>
      <c r="R8" s="255">
        <v>1.3797877972174288</v>
      </c>
      <c r="S8" s="121">
        <f>0.000678113401608875*100</f>
        <v>6.7811340160887495E-2</v>
      </c>
      <c r="T8" s="249">
        <v>2.6847530077411483</v>
      </c>
      <c r="U8" s="243">
        <v>0.90838972773487692</v>
      </c>
    </row>
    <row r="9" spans="1:21" x14ac:dyDescent="0.35">
      <c r="A9" s="19"/>
      <c r="B9" s="34"/>
      <c r="C9" s="35" t="s">
        <v>57</v>
      </c>
      <c r="D9" s="121">
        <f>0.0182356097848109*100</f>
        <v>1.82356097848109</v>
      </c>
      <c r="E9" s="249">
        <v>1.4849528808740529</v>
      </c>
      <c r="F9" s="255">
        <v>1.5583624767554476</v>
      </c>
      <c r="G9" s="121">
        <f>0.0117860295067446*100</f>
        <v>1.17860295067446</v>
      </c>
      <c r="H9" s="249">
        <v>2.2360679774997898</v>
      </c>
      <c r="I9" s="255">
        <v>2.3466094288184123</v>
      </c>
      <c r="J9" s="121">
        <f>0.0157686482470927*100</f>
        <v>1.57686482470927</v>
      </c>
      <c r="K9" s="249">
        <v>2.2360679774997898</v>
      </c>
      <c r="L9" s="255">
        <v>2.3466094288184123</v>
      </c>
      <c r="M9" s="121">
        <f>0.00149846027263394*100</f>
        <v>0.14984602726339399</v>
      </c>
      <c r="N9" s="249">
        <v>1.4303242803738216</v>
      </c>
      <c r="O9" s="255">
        <v>1.5010332764328651</v>
      </c>
      <c r="P9" s="121">
        <f>0.0116761587939751*100</f>
        <v>1.16761587939751</v>
      </c>
      <c r="Q9" s="249">
        <v>2.619727170027351</v>
      </c>
      <c r="R9" s="255">
        <v>1.664495232911859</v>
      </c>
      <c r="S9" s="121">
        <f>0.0117339673054179*100</f>
        <v>1.1733967305417901</v>
      </c>
      <c r="T9" s="249">
        <v>2.383191542097538</v>
      </c>
      <c r="U9" s="243">
        <v>0.80635600735856239</v>
      </c>
    </row>
    <row r="10" spans="1:21" x14ac:dyDescent="0.35">
      <c r="A10" s="19"/>
      <c r="B10" s="34"/>
      <c r="C10" s="35" t="s">
        <v>58</v>
      </c>
      <c r="D10" s="121">
        <f>0.0759219887088766*100</f>
        <v>7.5921988708876604</v>
      </c>
      <c r="E10" s="249">
        <v>0.77322687864633333</v>
      </c>
      <c r="F10" s="255">
        <v>0.81145184417698968</v>
      </c>
      <c r="G10" s="121">
        <f>0.0650781482046784*100</f>
        <v>6.5078148204678401</v>
      </c>
      <c r="H10" s="249">
        <v>0.42561906281704631</v>
      </c>
      <c r="I10" s="255">
        <v>0.44665981353933626</v>
      </c>
      <c r="J10" s="239">
        <f>0.0386082482200918*100</f>
        <v>3.8608248220091799</v>
      </c>
      <c r="K10" s="249">
        <v>0.77731759989932658</v>
      </c>
      <c r="L10" s="255">
        <v>0.81574479285276069</v>
      </c>
      <c r="M10" s="121">
        <f>0.0757623401544548*100</f>
        <v>7.576234015445479</v>
      </c>
      <c r="N10" s="261">
        <v>0.507508132972182</v>
      </c>
      <c r="O10" s="255">
        <v>0.53259712227807832</v>
      </c>
      <c r="P10" s="121">
        <f>0.0212629618034195*100</f>
        <v>2.1262961803419502</v>
      </c>
      <c r="Q10" s="249">
        <v>1.0179104662152385</v>
      </c>
      <c r="R10" s="255">
        <v>0.64674945464976163</v>
      </c>
      <c r="S10" s="121">
        <f>0.0287935315193045*100</f>
        <v>2.87935315193045</v>
      </c>
      <c r="T10" s="249">
        <v>0.85898982532235268</v>
      </c>
      <c r="U10" s="243">
        <v>0.29064034244554771</v>
      </c>
    </row>
    <row r="11" spans="1:21" ht="15" thickBot="1" x14ac:dyDescent="0.4">
      <c r="A11" s="38"/>
      <c r="B11" s="39" t="s">
        <v>59</v>
      </c>
      <c r="C11" s="40"/>
      <c r="D11" s="122">
        <f>0.0200392310119786*100</f>
        <v>2.0039231011978598</v>
      </c>
      <c r="E11" s="250">
        <v>1.1659487001087028</v>
      </c>
      <c r="F11" s="256">
        <v>1.2235881201844678</v>
      </c>
      <c r="G11" s="122">
        <f>0.00837108163622605*100</f>
        <v>0.83710816362260498</v>
      </c>
      <c r="H11" s="250">
        <v>0.81589590072786544</v>
      </c>
      <c r="I11" s="256">
        <v>0.85623023666885811</v>
      </c>
      <c r="J11" s="122">
        <f>0.0103152581612376*100</f>
        <v>1.0315258161237599</v>
      </c>
      <c r="K11" s="250">
        <v>0.87854045315635487</v>
      </c>
      <c r="L11" s="256">
        <v>0.92197166263264763</v>
      </c>
      <c r="M11" s="122">
        <f>0.0131746647565849*100</f>
        <v>1.31746647565849</v>
      </c>
      <c r="N11" s="250">
        <v>0.88957192344623925</v>
      </c>
      <c r="O11" s="256">
        <v>0.93354848071530594</v>
      </c>
      <c r="P11" s="122">
        <f>0.0219942524188248*100</f>
        <v>2.19942524188248</v>
      </c>
      <c r="Q11" s="250">
        <v>1.2337752450099007</v>
      </c>
      <c r="R11" s="256">
        <v>0.78390339165822376</v>
      </c>
      <c r="S11" s="122">
        <f>0.0205695583418427*100</f>
        <v>2.05695583418427</v>
      </c>
      <c r="T11" s="250">
        <v>1.2697147393138557</v>
      </c>
      <c r="U11" s="244">
        <v>0.42960965981622951</v>
      </c>
    </row>
    <row r="12" spans="1:21" ht="15" thickTop="1" x14ac:dyDescent="0.35">
      <c r="A12" s="96" t="s">
        <v>60</v>
      </c>
      <c r="B12" s="90"/>
      <c r="C12" s="47"/>
      <c r="D12" s="123">
        <f>0.452512541768539*100</f>
        <v>45.251254176853898</v>
      </c>
      <c r="E12" s="251">
        <v>0.23276814698802156</v>
      </c>
      <c r="F12" s="257">
        <v>0.24427518928177699</v>
      </c>
      <c r="G12" s="123">
        <f>0.44849259121287*100</f>
        <v>44.849259121286998</v>
      </c>
      <c r="H12" s="251">
        <v>0.1791294708418962</v>
      </c>
      <c r="I12" s="257">
        <v>0.18798485085719446</v>
      </c>
      <c r="J12" s="123">
        <f>0.38167592217544*100</f>
        <v>38.167592217543998</v>
      </c>
      <c r="K12" s="251">
        <v>0.19693518715262306</v>
      </c>
      <c r="L12" s="257">
        <v>0.20667080414754846</v>
      </c>
      <c r="M12" s="123">
        <f>0.412846426698668*100</f>
        <v>41.284642669866798</v>
      </c>
      <c r="N12" s="251">
        <v>0.20089517479960922</v>
      </c>
      <c r="O12" s="257">
        <v>0.21082655631784358</v>
      </c>
      <c r="P12" s="123">
        <f>0.386375250794183*100</f>
        <v>38.637525079418303</v>
      </c>
      <c r="Q12" s="251">
        <v>0.15423027835549807</v>
      </c>
      <c r="R12" s="257">
        <v>9.7993243735650312E-2</v>
      </c>
      <c r="S12" s="123">
        <f>0.393709804005878*100</f>
        <v>39.370980400587804</v>
      </c>
      <c r="T12" s="251">
        <v>0.2068915954995218</v>
      </c>
      <c r="U12" s="245">
        <v>7.000204471865705E-2</v>
      </c>
    </row>
    <row r="13" spans="1:21" x14ac:dyDescent="0.35">
      <c r="A13" s="53" t="s">
        <v>61</v>
      </c>
      <c r="B13" s="54"/>
      <c r="C13" s="54"/>
      <c r="D13" s="114"/>
      <c r="E13" s="249"/>
      <c r="F13" s="255"/>
      <c r="G13" s="121"/>
      <c r="H13" s="249"/>
      <c r="I13" s="255"/>
      <c r="J13" s="121"/>
      <c r="K13" s="249"/>
      <c r="L13" s="255"/>
      <c r="M13" s="121"/>
      <c r="N13" s="249"/>
      <c r="O13" s="255"/>
      <c r="P13" s="121"/>
      <c r="Q13" s="249"/>
      <c r="R13" s="255"/>
      <c r="S13" s="121"/>
      <c r="T13" s="249"/>
      <c r="U13" s="243"/>
    </row>
    <row r="14" spans="1:21" x14ac:dyDescent="0.35">
      <c r="A14" s="19"/>
      <c r="B14" s="55" t="s">
        <v>62</v>
      </c>
      <c r="C14" s="56"/>
      <c r="D14" s="121">
        <f>0.0161283394666278*100</f>
        <v>1.6128339466627801</v>
      </c>
      <c r="E14" s="249">
        <v>0.14031492889202138</v>
      </c>
      <c r="F14" s="255">
        <v>0.14725148718875802</v>
      </c>
      <c r="G14" s="121">
        <f>0.0145243225856384*100</f>
        <v>1.4524322585638401</v>
      </c>
      <c r="H14" s="249">
        <v>0.16578293523756013</v>
      </c>
      <c r="I14" s="255">
        <v>0.1739785207248635</v>
      </c>
      <c r="J14" s="121">
        <f>0.0199290724410723*100</f>
        <v>1.99290724410723</v>
      </c>
      <c r="K14" s="249">
        <v>0.13249443328552032</v>
      </c>
      <c r="L14" s="255">
        <v>0.13904438037764585</v>
      </c>
      <c r="M14" s="121">
        <f>0.0201127041852028*100</f>
        <v>2.0112704185202799</v>
      </c>
      <c r="N14" s="249">
        <v>0.23451961233610813</v>
      </c>
      <c r="O14" s="255">
        <v>0.24611323944010188</v>
      </c>
      <c r="P14" s="121">
        <f>0.0168690375859443*100</f>
        <v>1.68690375859443</v>
      </c>
      <c r="Q14" s="249">
        <v>0.59620124331628743</v>
      </c>
      <c r="R14" s="255">
        <v>0.37880819755200806</v>
      </c>
      <c r="S14" s="121">
        <f>0.0169244973495897*100</f>
        <v>1.69244973495897</v>
      </c>
      <c r="T14" s="249">
        <v>0.38256396670992759</v>
      </c>
      <c r="U14" s="243">
        <v>0.12944102364678742</v>
      </c>
    </row>
    <row r="15" spans="1:21" x14ac:dyDescent="0.35">
      <c r="A15" s="19"/>
      <c r="B15" s="57" t="s">
        <v>63</v>
      </c>
      <c r="C15" s="58"/>
      <c r="D15" s="121">
        <f>0.0539228839190588*100</f>
        <v>5.3922883919058799</v>
      </c>
      <c r="E15" s="249">
        <v>0.22089697137089206</v>
      </c>
      <c r="F15" s="255">
        <v>0.2318171545016971</v>
      </c>
      <c r="G15" s="121">
        <f>0.0545554801176554*100</f>
        <v>5.4555480117655399</v>
      </c>
      <c r="H15" s="249">
        <v>0.18530911284362173</v>
      </c>
      <c r="I15" s="255">
        <v>0.19446998741560337</v>
      </c>
      <c r="J15" s="121">
        <f>0.0603477397844778*100</f>
        <v>6.0347739784477801</v>
      </c>
      <c r="K15" s="249">
        <v>0.28642343536817083</v>
      </c>
      <c r="L15" s="255">
        <v>0.30058296117680255</v>
      </c>
      <c r="M15" s="121">
        <f>0.0679194797035223*100</f>
        <v>6.7919479703522301</v>
      </c>
      <c r="N15" s="249">
        <v>0.45868167107911523</v>
      </c>
      <c r="O15" s="255">
        <v>0.48135689299747081</v>
      </c>
      <c r="P15" s="121">
        <f>0.0505142398481325*100</f>
        <v>5.0514239848132494</v>
      </c>
      <c r="Q15" s="249">
        <v>0.29206514698847436</v>
      </c>
      <c r="R15" s="255">
        <v>0.18556934112224421</v>
      </c>
      <c r="S15" s="121">
        <f>0.0518270772758979*100</f>
        <v>5.1827077275897899</v>
      </c>
      <c r="T15" s="249">
        <v>0.33543032955492236</v>
      </c>
      <c r="U15" s="243">
        <v>0.11349329523417891</v>
      </c>
    </row>
    <row r="16" spans="1:21" x14ac:dyDescent="0.35">
      <c r="A16" s="19"/>
      <c r="B16" s="317" t="s">
        <v>64</v>
      </c>
      <c r="C16" s="318"/>
      <c r="D16" s="114"/>
      <c r="E16" s="249"/>
      <c r="F16" s="255"/>
      <c r="G16" s="121"/>
      <c r="H16" s="249"/>
      <c r="I16" s="255"/>
      <c r="J16" s="121"/>
      <c r="K16" s="249"/>
      <c r="L16" s="255"/>
      <c r="M16" s="121"/>
      <c r="N16" s="249"/>
      <c r="O16" s="255"/>
      <c r="P16" s="121"/>
      <c r="Q16" s="249"/>
      <c r="R16" s="255"/>
      <c r="S16" s="121"/>
      <c r="T16" s="249"/>
      <c r="U16" s="243"/>
    </row>
    <row r="17" spans="1:21" x14ac:dyDescent="0.35">
      <c r="A17" s="19"/>
      <c r="B17" s="59"/>
      <c r="C17" s="60" t="s">
        <v>65</v>
      </c>
      <c r="D17" s="121">
        <f>0.0183926790352177*100</f>
        <v>1.8392679035217698</v>
      </c>
      <c r="E17" s="249">
        <v>0.82516069346504484</v>
      </c>
      <c r="F17" s="255">
        <v>0.86595304036350373</v>
      </c>
      <c r="G17" s="121">
        <f>0.0194027719135786*100</f>
        <v>1.94027719135786</v>
      </c>
      <c r="H17" s="249">
        <v>1.1879864094264272</v>
      </c>
      <c r="I17" s="255">
        <v>1.2467152777641557</v>
      </c>
      <c r="J17" s="121">
        <f>0.0268940068729401*100</f>
        <v>2.6894006872940102</v>
      </c>
      <c r="K17" s="249">
        <v>0.61667244339990201</v>
      </c>
      <c r="L17" s="255">
        <v>0.64715804024559653</v>
      </c>
      <c r="M17" s="121">
        <f>0.0292957401616073*100</f>
        <v>2.9295740161607302</v>
      </c>
      <c r="N17" s="249">
        <v>0.4923473022496429</v>
      </c>
      <c r="O17" s="255">
        <v>0.51668680618741569</v>
      </c>
      <c r="P17" s="121">
        <f>0.0185192955345006*100</f>
        <v>1.8519295534500602</v>
      </c>
      <c r="Q17" s="249">
        <v>0.45867598948301902</v>
      </c>
      <c r="R17" s="255">
        <v>0.29142882002389747</v>
      </c>
      <c r="S17" s="121">
        <f>0.0191998034572416*100</f>
        <v>1.91998034572416</v>
      </c>
      <c r="T17" s="249">
        <v>0.72659307560701281</v>
      </c>
      <c r="U17" s="243">
        <v>0.24584372723359971</v>
      </c>
    </row>
    <row r="18" spans="1:21" ht="15" thickBot="1" x14ac:dyDescent="0.4">
      <c r="A18" s="38"/>
      <c r="B18" s="61"/>
      <c r="C18" s="62" t="s">
        <v>66</v>
      </c>
      <c r="D18" s="122">
        <f>0.0178718138467219*100</f>
        <v>1.78718138467219</v>
      </c>
      <c r="E18" s="250">
        <v>0.13934643264536783</v>
      </c>
      <c r="F18" s="256">
        <v>0.14623511271041431</v>
      </c>
      <c r="G18" s="122">
        <v>0</v>
      </c>
      <c r="H18" s="250">
        <v>0</v>
      </c>
      <c r="I18" s="256">
        <v>0</v>
      </c>
      <c r="J18" s="122">
        <v>0</v>
      </c>
      <c r="K18" s="250">
        <v>0</v>
      </c>
      <c r="L18" s="256">
        <v>0</v>
      </c>
      <c r="M18" s="122">
        <v>0</v>
      </c>
      <c r="N18" s="250">
        <v>0</v>
      </c>
      <c r="O18" s="256">
        <v>0</v>
      </c>
      <c r="P18" s="122">
        <v>0</v>
      </c>
      <c r="Q18" s="250">
        <v>0</v>
      </c>
      <c r="R18" s="256">
        <v>0</v>
      </c>
      <c r="S18" s="122">
        <f>0.000916712606909232*100</f>
        <v>9.1671260690923198E-2</v>
      </c>
      <c r="T18" s="250">
        <v>2.2619691796631405</v>
      </c>
      <c r="U18" s="244">
        <v>0.7653402608486779</v>
      </c>
    </row>
    <row r="19" spans="1:21" ht="15" thickTop="1" x14ac:dyDescent="0.35">
      <c r="A19" s="96" t="s">
        <v>67</v>
      </c>
      <c r="B19" s="90"/>
      <c r="C19" s="47"/>
      <c r="D19" s="123">
        <f>0.106315716267626*100</f>
        <v>10.6315716267626</v>
      </c>
      <c r="E19" s="251">
        <v>0.24103816670586817</v>
      </c>
      <c r="F19" s="257">
        <v>0.25295404271632776</v>
      </c>
      <c r="G19" s="123">
        <f>0.0884825746168724*100</f>
        <v>8.8482574616872398</v>
      </c>
      <c r="H19" s="251">
        <v>0.22644806328132294</v>
      </c>
      <c r="I19" s="257">
        <v>0.23764266819284155</v>
      </c>
      <c r="J19" s="123">
        <f>0.10717081909849*100</f>
        <v>10.717081909849</v>
      </c>
      <c r="K19" s="251">
        <v>0.1713570793186362</v>
      </c>
      <c r="L19" s="257">
        <v>0.17982822618545996</v>
      </c>
      <c r="M19" s="123">
        <f>0.117327924050333*100</f>
        <v>11.732792405033301</v>
      </c>
      <c r="N19" s="251">
        <v>0.2593462358952251</v>
      </c>
      <c r="O19" s="257">
        <v>0.27216718302132054</v>
      </c>
      <c r="P19" s="123">
        <f>0.0859025729685775*100</f>
        <v>8.5902572968577502</v>
      </c>
      <c r="Q19" s="251">
        <v>0.25983021524399136</v>
      </c>
      <c r="R19" s="257">
        <v>0.16508824261862756</v>
      </c>
      <c r="S19" s="123">
        <f>0.0888680906896385*100</f>
        <v>8.8868090689638493</v>
      </c>
      <c r="T19" s="251">
        <v>0.27069586052989508</v>
      </c>
      <c r="U19" s="245">
        <v>9.1590302101048224E-2</v>
      </c>
    </row>
    <row r="20" spans="1:21" x14ac:dyDescent="0.35">
      <c r="A20" s="63" t="s">
        <v>68</v>
      </c>
      <c r="B20" s="64"/>
      <c r="C20" s="64"/>
      <c r="D20" s="114"/>
      <c r="E20" s="249"/>
      <c r="F20" s="255"/>
      <c r="G20" s="121"/>
      <c r="H20" s="249"/>
      <c r="I20" s="255"/>
      <c r="J20" s="121"/>
      <c r="K20" s="249"/>
      <c r="L20" s="255"/>
      <c r="M20" s="121"/>
      <c r="N20" s="249"/>
      <c r="O20" s="255"/>
      <c r="P20" s="121"/>
      <c r="Q20" s="249"/>
      <c r="R20" s="255"/>
      <c r="S20" s="121"/>
      <c r="T20" s="249"/>
      <c r="U20" s="243"/>
    </row>
    <row r="21" spans="1:21" x14ac:dyDescent="0.35">
      <c r="A21" s="19"/>
      <c r="B21" s="65" t="s">
        <v>69</v>
      </c>
      <c r="C21" s="66"/>
      <c r="D21" s="114"/>
      <c r="E21" s="249"/>
      <c r="F21" s="255"/>
      <c r="G21" s="121"/>
      <c r="H21" s="249"/>
      <c r="I21" s="255"/>
      <c r="J21" s="121"/>
      <c r="K21" s="249"/>
      <c r="L21" s="255"/>
      <c r="M21" s="121"/>
      <c r="N21" s="249"/>
      <c r="O21" s="255"/>
      <c r="P21" s="121"/>
      <c r="Q21" s="249"/>
      <c r="R21" s="255"/>
      <c r="S21" s="121"/>
      <c r="T21" s="249"/>
      <c r="U21" s="243"/>
    </row>
    <row r="22" spans="1:21" x14ac:dyDescent="0.35">
      <c r="A22" s="19"/>
      <c r="B22" s="67"/>
      <c r="C22" s="68" t="s">
        <v>70</v>
      </c>
      <c r="D22" s="121">
        <f>0.00773444003971103*100</f>
        <v>0.77344400397110302</v>
      </c>
      <c r="E22" s="249">
        <v>0.31196451358098715</v>
      </c>
      <c r="F22" s="255">
        <v>0.32738667893470286</v>
      </c>
      <c r="G22" s="121">
        <f>0.00852028243408371*100</f>
        <v>0.85202824340837102</v>
      </c>
      <c r="H22" s="249">
        <v>0.33934772812706215</v>
      </c>
      <c r="I22" s="255">
        <v>0.35612360021427208</v>
      </c>
      <c r="J22" s="121">
        <f>0.00798712875103491*100</f>
        <v>0.79871287510349087</v>
      </c>
      <c r="K22" s="249">
        <v>0.31609443927369357</v>
      </c>
      <c r="L22" s="255">
        <v>0.33172077014675105</v>
      </c>
      <c r="M22" s="121">
        <f>0.00598373911116968*100</f>
        <v>0.59837391111696803</v>
      </c>
      <c r="N22" s="249">
        <v>0.29542031703976629</v>
      </c>
      <c r="O22" s="255">
        <v>0.31002460945090177</v>
      </c>
      <c r="P22" s="121">
        <f>0.00887718136435224*100</f>
        <v>0.88771813643522401</v>
      </c>
      <c r="Q22" s="249">
        <v>0.96615584308282987</v>
      </c>
      <c r="R22" s="255">
        <v>0.61386613593220807</v>
      </c>
      <c r="S22" s="121">
        <f>0.0086649107545218*100</f>
        <v>0.86649107545218007</v>
      </c>
      <c r="T22" s="249">
        <v>0.67606610852577376</v>
      </c>
      <c r="U22" s="243">
        <v>0.22874786115658843</v>
      </c>
    </row>
    <row r="23" spans="1:21" x14ac:dyDescent="0.35">
      <c r="A23" s="19"/>
      <c r="B23" s="69"/>
      <c r="C23" s="70" t="s">
        <v>71</v>
      </c>
      <c r="D23" s="121">
        <f>0.0427393932302798*100</f>
        <v>4.2739393230279799</v>
      </c>
      <c r="E23" s="249">
        <v>0.21403633802145736</v>
      </c>
      <c r="F23" s="255">
        <v>0.22461736135254137</v>
      </c>
      <c r="G23" s="121">
        <f>0.0578765731846054*100</f>
        <v>5.78765731846054</v>
      </c>
      <c r="H23" s="249">
        <v>8.4874983238815233E-2</v>
      </c>
      <c r="I23" s="255">
        <v>8.9070832346387033E-2</v>
      </c>
      <c r="J23" s="121">
        <f>0.0517186356750181*100</f>
        <v>5.1718635675018101</v>
      </c>
      <c r="K23" s="249">
        <v>0.10225414415246301</v>
      </c>
      <c r="L23" s="255">
        <v>0.10730914320065627</v>
      </c>
      <c r="M23" s="121">
        <f>0.0479002188274557*100</f>
        <v>4.7900218827455703</v>
      </c>
      <c r="N23" s="249">
        <v>0.23357315046032262</v>
      </c>
      <c r="O23" s="255">
        <v>0.24511998861584974</v>
      </c>
      <c r="P23" s="121">
        <f>0.0490604961905152*100</f>
        <v>4.9060496190515206</v>
      </c>
      <c r="Q23" s="249">
        <v>0.29652600981789756</v>
      </c>
      <c r="R23" s="255">
        <v>0.18840363814339972</v>
      </c>
      <c r="S23" s="121">
        <f>0.049194904675584*100</f>
        <v>4.9194904675584006</v>
      </c>
      <c r="T23" s="249">
        <v>0.23153540210339552</v>
      </c>
      <c r="U23" s="243">
        <v>7.83403092467891E-2</v>
      </c>
    </row>
    <row r="24" spans="1:21" x14ac:dyDescent="0.35">
      <c r="A24" s="19"/>
      <c r="B24" s="71" t="s">
        <v>72</v>
      </c>
      <c r="C24" s="72"/>
      <c r="D24" s="121">
        <f>0.00468485160870737*100</f>
        <v>0.46848516087073705</v>
      </c>
      <c r="E24" s="249">
        <v>1.1821684421488152</v>
      </c>
      <c r="F24" s="255">
        <v>1.2406096955512811</v>
      </c>
      <c r="G24" s="121">
        <f>0.00815853301357967*100</f>
        <v>0.81585330135796696</v>
      </c>
      <c r="H24" s="249">
        <v>0.5190778305341931</v>
      </c>
      <c r="I24" s="255">
        <v>0.54473877524247039</v>
      </c>
      <c r="J24" s="121">
        <f>0.00328974807963418*100</f>
        <v>0.32897480796341799</v>
      </c>
      <c r="K24" s="249">
        <v>0.88215586179373184</v>
      </c>
      <c r="L24" s="255">
        <v>0.9257658013094987</v>
      </c>
      <c r="M24" s="121">
        <f>0.00585914803232147*100</f>
        <v>0.58591480323214695</v>
      </c>
      <c r="N24" s="249">
        <v>0.85537631977650808</v>
      </c>
      <c r="O24" s="255">
        <v>0.89766239549653204</v>
      </c>
      <c r="P24" s="121">
        <f>0.0107684715379064*100</f>
        <v>1.0768471537906399</v>
      </c>
      <c r="Q24" s="249">
        <v>0.75475270736258382</v>
      </c>
      <c r="R24" s="255">
        <v>0.47954699168891851</v>
      </c>
      <c r="S24" s="121">
        <f>0.00993643478495648*100</f>
        <v>0.99364347849564794</v>
      </c>
      <c r="T24" s="249">
        <v>0.91218471880172525</v>
      </c>
      <c r="U24" s="243">
        <v>0.30863890494469881</v>
      </c>
    </row>
    <row r="25" spans="1:21" ht="15" thickBot="1" x14ac:dyDescent="0.4">
      <c r="A25" s="38"/>
      <c r="B25" s="39" t="s">
        <v>73</v>
      </c>
      <c r="C25" s="40"/>
      <c r="D25" s="122">
        <f>0.00909433715469984*100</f>
        <v>0.90943371546998408</v>
      </c>
      <c r="E25" s="250">
        <v>1.5844382731127529</v>
      </c>
      <c r="F25" s="256">
        <v>1.6627659930197707</v>
      </c>
      <c r="G25" s="122">
        <f>0.00157719413243721*100</f>
        <v>0.15771941324372099</v>
      </c>
      <c r="H25" s="250">
        <v>0.50027795430375011</v>
      </c>
      <c r="I25" s="256">
        <v>0.52500951510061011</v>
      </c>
      <c r="J25" s="122">
        <f>0.00204818450150301*100</f>
        <v>0.20481845015030098</v>
      </c>
      <c r="K25" s="250">
        <v>0.94001322938780973</v>
      </c>
      <c r="L25" s="256">
        <v>0.98648338489328713</v>
      </c>
      <c r="M25" s="122">
        <f>0.00250562761543127*100</f>
        <v>0.25056276154312701</v>
      </c>
      <c r="N25" s="250">
        <v>0.86935872642448631</v>
      </c>
      <c r="O25" s="256">
        <v>0.91233603136443897</v>
      </c>
      <c r="P25" s="122">
        <f>0.0046847389626173*100</f>
        <v>0.46847389626173003</v>
      </c>
      <c r="Q25" s="250">
        <v>0.91284044650806972</v>
      </c>
      <c r="R25" s="256">
        <v>0.57999114908059368</v>
      </c>
      <c r="S25" s="122">
        <f>0.00460307338574896*100</f>
        <v>0.46030733857489597</v>
      </c>
      <c r="T25" s="250">
        <v>1.7199905635544657</v>
      </c>
      <c r="U25" s="244">
        <v>0.58196107993128299</v>
      </c>
    </row>
    <row r="26" spans="1:21" ht="15" thickTop="1" x14ac:dyDescent="0.35">
      <c r="A26" s="96" t="s">
        <v>74</v>
      </c>
      <c r="B26" s="118"/>
      <c r="C26" s="47"/>
      <c r="D26" s="123">
        <f>0.064253022033398*100</f>
        <v>6.4253022033398004</v>
      </c>
      <c r="E26" s="251">
        <v>0.16178568853089975</v>
      </c>
      <c r="F26" s="257">
        <v>0.16978366756943725</v>
      </c>
      <c r="G26" s="123">
        <f>0.076132582764706*100</f>
        <v>7.6132582764705994</v>
      </c>
      <c r="H26" s="251">
        <v>0.10052592710154505</v>
      </c>
      <c r="I26" s="257">
        <v>0.10549549063394703</v>
      </c>
      <c r="J26" s="123">
        <f>0.0650436970071902*100</f>
        <v>6.5043697007190202</v>
      </c>
      <c r="K26" s="251">
        <v>0.13961754627890802</v>
      </c>
      <c r="L26" s="257">
        <v>0.14651962901991308</v>
      </c>
      <c r="M26" s="123">
        <f>0.0622487335863781*100</f>
        <v>6.2248733586378098</v>
      </c>
      <c r="N26" s="251">
        <v>0.21849141264929747</v>
      </c>
      <c r="O26" s="257">
        <v>0.22929267544539314</v>
      </c>
      <c r="P26" s="123">
        <f>0.0733908880553911*100</f>
        <v>7.3390888055391095</v>
      </c>
      <c r="Q26" s="251">
        <v>0.2707027294864397</v>
      </c>
      <c r="R26" s="257">
        <v>0.17199630859334988</v>
      </c>
      <c r="S26" s="123">
        <f>0.0723993236008112*100</f>
        <v>7.2399323600811192</v>
      </c>
      <c r="T26" s="251">
        <v>0.21839113092924561</v>
      </c>
      <c r="U26" s="245">
        <v>7.3892927726503396E-2</v>
      </c>
    </row>
    <row r="27" spans="1:21" x14ac:dyDescent="0.35">
      <c r="A27" s="73" t="s">
        <v>75</v>
      </c>
      <c r="B27" s="64"/>
      <c r="C27" s="64"/>
      <c r="D27" s="114"/>
      <c r="E27" s="249"/>
      <c r="F27" s="255"/>
      <c r="G27" s="121"/>
      <c r="H27" s="249"/>
      <c r="I27" s="255"/>
      <c r="J27" s="121"/>
      <c r="K27" s="249"/>
      <c r="L27" s="255"/>
      <c r="M27" s="121"/>
      <c r="N27" s="249"/>
      <c r="O27" s="255"/>
      <c r="P27" s="121"/>
      <c r="Q27" s="249"/>
      <c r="R27" s="255"/>
      <c r="S27" s="121"/>
      <c r="T27" s="249"/>
      <c r="U27" s="243"/>
    </row>
    <row r="28" spans="1:21" x14ac:dyDescent="0.35">
      <c r="A28" s="19"/>
      <c r="B28" s="74" t="s">
        <v>76</v>
      </c>
      <c r="C28" s="75"/>
      <c r="D28" s="121">
        <f>0.000548877537013271*100</f>
        <v>5.4887753701327098E-2</v>
      </c>
      <c r="E28" s="249">
        <v>0.7233071942737781</v>
      </c>
      <c r="F28" s="255">
        <v>0.75906434826407165</v>
      </c>
      <c r="G28" s="121">
        <f>0.000823521722253444*100</f>
        <v>8.2352172225344397E-2</v>
      </c>
      <c r="H28" s="249">
        <v>1.1704046615352799</v>
      </c>
      <c r="I28" s="255">
        <v>1.2282643649155196</v>
      </c>
      <c r="J28" s="121">
        <f>0.000692934821466022*100</f>
        <v>6.9293482146602206E-2</v>
      </c>
      <c r="K28" s="249">
        <v>0.57257071814531035</v>
      </c>
      <c r="L28" s="255">
        <v>0.60087611798252727</v>
      </c>
      <c r="M28" s="121">
        <f>0.000896887401384381*100</f>
        <v>8.9688740138438097E-2</v>
      </c>
      <c r="N28" s="249">
        <v>0.4565537605474716</v>
      </c>
      <c r="O28" s="255">
        <v>0.47912378784705395</v>
      </c>
      <c r="P28" s="121">
        <f>0.00048189941594922*100</f>
        <v>4.8189941594922001E-2</v>
      </c>
      <c r="Q28" s="249">
        <v>1.044728252423158</v>
      </c>
      <c r="R28" s="255">
        <v>0.66378866308758733</v>
      </c>
      <c r="S28" s="121">
        <f>0.00052385063774124*100</f>
        <v>5.2385063774123997E-2</v>
      </c>
      <c r="T28" s="249">
        <v>0.8925315189084414</v>
      </c>
      <c r="U28" s="243">
        <v>0.3019892187915581</v>
      </c>
    </row>
    <row r="29" spans="1:21" x14ac:dyDescent="0.35">
      <c r="A29" s="19"/>
      <c r="B29" s="76" t="s">
        <v>77</v>
      </c>
      <c r="C29" s="77"/>
      <c r="D29" s="121">
        <v>0</v>
      </c>
      <c r="E29" s="249">
        <v>0</v>
      </c>
      <c r="F29" s="255">
        <v>0</v>
      </c>
      <c r="G29" s="121">
        <v>0</v>
      </c>
      <c r="H29" s="249">
        <v>0</v>
      </c>
      <c r="I29" s="255">
        <v>0</v>
      </c>
      <c r="J29" s="121">
        <v>0</v>
      </c>
      <c r="K29" s="249">
        <v>0</v>
      </c>
      <c r="L29" s="255">
        <v>0</v>
      </c>
      <c r="M29" s="121">
        <v>0</v>
      </c>
      <c r="N29" s="249">
        <v>0</v>
      </c>
      <c r="O29" s="255">
        <v>0</v>
      </c>
      <c r="P29" s="121">
        <f>0.000110572811193828*100</f>
        <v>1.1057281119382799E-2</v>
      </c>
      <c r="Q29" s="249">
        <v>2.2719438087422903</v>
      </c>
      <c r="R29" s="255">
        <v>1.4435242273933713</v>
      </c>
      <c r="S29" s="121">
        <f>0.0000922143965735847*100</f>
        <v>9.2214396573584712E-3</v>
      </c>
      <c r="T29" s="249">
        <v>4.1815291473631122</v>
      </c>
      <c r="U29" s="243">
        <v>1.4148259123786258</v>
      </c>
    </row>
    <row r="30" spans="1:21" x14ac:dyDescent="0.35">
      <c r="A30" s="19"/>
      <c r="B30" s="71" t="s">
        <v>78</v>
      </c>
      <c r="C30" s="72"/>
      <c r="D30" s="121"/>
      <c r="E30" s="249"/>
      <c r="F30" s="255"/>
      <c r="G30" s="121"/>
      <c r="H30" s="249"/>
      <c r="I30" s="255"/>
      <c r="J30" s="121"/>
      <c r="K30" s="249"/>
      <c r="L30" s="255"/>
      <c r="M30" s="121"/>
      <c r="N30" s="249"/>
      <c r="O30" s="255"/>
      <c r="P30" s="121"/>
      <c r="Q30" s="249"/>
      <c r="R30" s="255"/>
      <c r="S30" s="121"/>
      <c r="T30" s="249"/>
      <c r="U30" s="243"/>
    </row>
    <row r="31" spans="1:21" x14ac:dyDescent="0.35">
      <c r="A31" s="19"/>
      <c r="B31" s="78"/>
      <c r="C31" s="79" t="s">
        <v>79</v>
      </c>
      <c r="D31" s="121">
        <f>0.00178040487986676*100</f>
        <v>0.17804048798667599</v>
      </c>
      <c r="E31" s="249">
        <v>1.5709561663593792</v>
      </c>
      <c r="F31" s="255">
        <v>1.6486173896918979</v>
      </c>
      <c r="G31" s="121">
        <f>0.00236554114145271*100</f>
        <v>0.236554114145271</v>
      </c>
      <c r="H31" s="249">
        <v>1.639908443591092</v>
      </c>
      <c r="I31" s="255">
        <v>1.7209783668708458</v>
      </c>
      <c r="J31" s="121">
        <f>0.0028901974601156*100</f>
        <v>0.28901974601156</v>
      </c>
      <c r="K31" s="249">
        <v>2.1340345397777623</v>
      </c>
      <c r="L31" s="255">
        <v>2.2395319028118088</v>
      </c>
      <c r="M31" s="121">
        <f>0.00149340733589162*100</f>
        <v>0.149340733589162</v>
      </c>
      <c r="N31" s="249">
        <v>1.8051379297445589</v>
      </c>
      <c r="O31" s="255">
        <v>1.8943760784019941</v>
      </c>
      <c r="P31" s="121">
        <f>0.0027197886840247*100</f>
        <v>0.27197886840246999</v>
      </c>
      <c r="Q31" s="249">
        <v>1.7631393804905204</v>
      </c>
      <c r="R31" s="255">
        <v>1.1202453169025994</v>
      </c>
      <c r="S31" s="121">
        <f>0.00261131545860809*100</f>
        <v>0.261131545860809</v>
      </c>
      <c r="T31" s="249">
        <v>1.8982921893736744</v>
      </c>
      <c r="U31" s="243">
        <v>0.64228967063053322</v>
      </c>
    </row>
    <row r="32" spans="1:21" ht="15" thickBot="1" x14ac:dyDescent="0.4">
      <c r="A32" s="38"/>
      <c r="B32" s="61"/>
      <c r="C32" s="62" t="s">
        <v>80</v>
      </c>
      <c r="D32" s="122">
        <f>0.00160731698881881*100</f>
        <v>0.16073169888188099</v>
      </c>
      <c r="E32" s="250">
        <v>0.91573870555416581</v>
      </c>
      <c r="F32" s="256">
        <v>0.96100883444075669</v>
      </c>
      <c r="G32" s="122">
        <f>0.0228416990621464*100</f>
        <v>2.2841699062146401</v>
      </c>
      <c r="H32" s="250">
        <v>0.8608920408031514</v>
      </c>
      <c r="I32" s="256">
        <v>0.9034507897216153</v>
      </c>
      <c r="J32" s="122">
        <f>0.00112610607341324*100</f>
        <v>0.11261060734132401</v>
      </c>
      <c r="K32" s="250">
        <v>1.0365016289494167</v>
      </c>
      <c r="L32" s="256">
        <v>1.0877417502297615</v>
      </c>
      <c r="M32" s="122">
        <f>0.00895092107966837*100</f>
        <v>0.89509210796683703</v>
      </c>
      <c r="N32" s="250">
        <v>0.65777511793818066</v>
      </c>
      <c r="O32" s="256">
        <v>0.69029265180111143</v>
      </c>
      <c r="P32" s="122">
        <f>0.0178902160508012*100</f>
        <v>1.78902160508012</v>
      </c>
      <c r="Q32" s="250">
        <v>1.1308797210582318</v>
      </c>
      <c r="R32" s="256">
        <v>0.71852669477732956</v>
      </c>
      <c r="S32" s="122">
        <f>0.0164986206363785*100</f>
        <v>1.64986206363785</v>
      </c>
      <c r="T32" s="250">
        <v>1.4220362764187895</v>
      </c>
      <c r="U32" s="244">
        <v>0.48114785316956366</v>
      </c>
    </row>
    <row r="33" spans="1:21" ht="15" thickTop="1" x14ac:dyDescent="0.35">
      <c r="A33" s="96" t="s">
        <v>81</v>
      </c>
      <c r="B33" s="90"/>
      <c r="C33" s="47"/>
      <c r="D33" s="123">
        <f>0.00393659940569884*100</f>
        <v>0.39365994056988396</v>
      </c>
      <c r="E33" s="251">
        <v>0.46292754948600306</v>
      </c>
      <c r="F33" s="257">
        <v>0.48581266912032373</v>
      </c>
      <c r="G33" s="123">
        <f>0.0260307619258526*100</f>
        <v>2.6030761925852599</v>
      </c>
      <c r="H33" s="251">
        <v>0.7305315624293649</v>
      </c>
      <c r="I33" s="257">
        <v>0.766645857682274</v>
      </c>
      <c r="J33" s="123">
        <f>0.00470923835499486*100</f>
        <v>0.47092383549948602</v>
      </c>
      <c r="K33" s="251">
        <v>1.3719894996370499</v>
      </c>
      <c r="L33" s="257">
        <v>1.439814678482179</v>
      </c>
      <c r="M33" s="123">
        <f>0.0113412158169444*100</f>
        <v>1.1341215816944399</v>
      </c>
      <c r="N33" s="251">
        <v>0.45758106617736238</v>
      </c>
      <c r="O33" s="257">
        <v>0.48020187898812716</v>
      </c>
      <c r="P33" s="123">
        <f>0.0217883478272496*100</f>
        <v>2.1788347827249601</v>
      </c>
      <c r="Q33" s="251">
        <v>0.95115940383544662</v>
      </c>
      <c r="R33" s="257">
        <v>0.60433785301652521</v>
      </c>
      <c r="S33" s="123">
        <f>0.0202145997977136*100</f>
        <v>2.0214599797713602</v>
      </c>
      <c r="T33" s="251">
        <v>1.1406936495777058</v>
      </c>
      <c r="U33" s="245">
        <v>0.3859552036187533</v>
      </c>
    </row>
    <row r="34" spans="1:21" x14ac:dyDescent="0.35">
      <c r="A34" s="81" t="s">
        <v>82</v>
      </c>
      <c r="B34" s="82"/>
      <c r="C34" s="82"/>
      <c r="D34" s="121"/>
      <c r="E34" s="249"/>
      <c r="F34" s="255"/>
      <c r="G34" s="121"/>
      <c r="H34" s="249"/>
      <c r="I34" s="255"/>
      <c r="J34" s="121"/>
      <c r="K34" s="249"/>
      <c r="L34" s="255"/>
      <c r="M34" s="121"/>
      <c r="N34" s="249"/>
      <c r="O34" s="255"/>
      <c r="P34" s="121"/>
      <c r="Q34" s="249"/>
      <c r="R34" s="255"/>
      <c r="S34" s="121"/>
      <c r="T34" s="249"/>
      <c r="U34" s="243"/>
    </row>
    <row r="35" spans="1:21" x14ac:dyDescent="0.35">
      <c r="A35" s="19"/>
      <c r="B35" s="65" t="s">
        <v>130</v>
      </c>
      <c r="C35" s="66"/>
      <c r="D35" s="121"/>
      <c r="E35" s="249"/>
      <c r="F35" s="255"/>
      <c r="G35" s="121"/>
      <c r="H35" s="249"/>
      <c r="I35" s="255"/>
      <c r="J35" s="121"/>
      <c r="K35" s="249"/>
      <c r="L35" s="255"/>
      <c r="M35" s="121"/>
      <c r="N35" s="249"/>
      <c r="O35" s="255"/>
      <c r="P35" s="121"/>
      <c r="Q35" s="249"/>
      <c r="R35" s="255"/>
      <c r="S35" s="121"/>
      <c r="T35" s="249"/>
      <c r="U35" s="243"/>
    </row>
    <row r="36" spans="1:21" x14ac:dyDescent="0.35">
      <c r="A36" s="19"/>
      <c r="B36" s="85"/>
      <c r="C36" s="86" t="s">
        <v>84</v>
      </c>
      <c r="D36" s="121">
        <f>0.064510842077007*100</f>
        <v>6.4510842077007</v>
      </c>
      <c r="E36" s="249">
        <v>0.10607941514311491</v>
      </c>
      <c r="F36" s="255">
        <v>0.1113235189105066</v>
      </c>
      <c r="G36" s="121">
        <f>0.0662106463547707*100</f>
        <v>6.6210646354770697</v>
      </c>
      <c r="H36" s="249">
        <v>0.27535736958109597</v>
      </c>
      <c r="I36" s="255">
        <v>0.28896983734641257</v>
      </c>
      <c r="J36" s="121">
        <f>0.0593927638755917*100</f>
        <v>5.9392763875591701</v>
      </c>
      <c r="K36" s="249">
        <v>0.12985753120182056</v>
      </c>
      <c r="L36" s="255">
        <v>0.13627712135209535</v>
      </c>
      <c r="M36" s="121">
        <f>0.0526634704648812*100</f>
        <v>5.2663470464881197</v>
      </c>
      <c r="N36" s="249">
        <v>0.19126023932548078</v>
      </c>
      <c r="O36" s="255">
        <v>0.20071531164319509</v>
      </c>
      <c r="P36" s="121">
        <f>0.0529232005672273*100</f>
        <v>5.2923200567227306</v>
      </c>
      <c r="Q36" s="249">
        <v>0.18012016821522525</v>
      </c>
      <c r="R36" s="255">
        <v>0.11444289496084986</v>
      </c>
      <c r="S36" s="121">
        <f>0.0543330280005979*100</f>
        <v>5.4333028000597903</v>
      </c>
      <c r="T36" s="249">
        <v>0.21469979040740619</v>
      </c>
      <c r="U36" s="243">
        <v>7.2643957783293731E-2</v>
      </c>
    </row>
    <row r="37" spans="1:21" x14ac:dyDescent="0.35">
      <c r="A37" s="19"/>
      <c r="B37" s="85"/>
      <c r="C37" s="87" t="s">
        <v>85</v>
      </c>
      <c r="D37" s="121">
        <f>0.0525224922691665*100</f>
        <v>5.2522492269166499</v>
      </c>
      <c r="E37" s="249">
        <v>0.1224067215491481</v>
      </c>
      <c r="F37" s="255">
        <v>0.12845797615649984</v>
      </c>
      <c r="G37" s="121">
        <f>0.0380902135214509*100</f>
        <v>3.80902135214509</v>
      </c>
      <c r="H37" s="249">
        <v>0.2642606706712215</v>
      </c>
      <c r="I37" s="255">
        <v>0.2773245660251954</v>
      </c>
      <c r="J37" s="121">
        <f>0.0476159718655905*100</f>
        <v>4.7615971865590501</v>
      </c>
      <c r="K37" s="249">
        <v>0.28266146010795867</v>
      </c>
      <c r="L37" s="255">
        <v>0.29663501026232897</v>
      </c>
      <c r="M37" s="121">
        <f>0.0461717693790972*100</f>
        <v>4.6171769379097203</v>
      </c>
      <c r="N37" s="249">
        <v>0.16252398662629922</v>
      </c>
      <c r="O37" s="255">
        <v>0.17055846390361676</v>
      </c>
      <c r="P37" s="121">
        <f>0.0484999167928694*100</f>
        <v>4.8499916792869397</v>
      </c>
      <c r="Q37" s="249">
        <v>0.20612645519574896</v>
      </c>
      <c r="R37" s="255">
        <v>0.1309665013882961</v>
      </c>
      <c r="S37" s="121">
        <f>0.0480822149490716*100</f>
        <v>4.8082214949071593</v>
      </c>
      <c r="T37" s="249">
        <v>0.23513778412940076</v>
      </c>
      <c r="U37" s="243">
        <v>7.9559179965385723E-2</v>
      </c>
    </row>
    <row r="38" spans="1:21" x14ac:dyDescent="0.35">
      <c r="A38" s="19"/>
      <c r="B38" s="71" t="s">
        <v>131</v>
      </c>
      <c r="C38" s="72"/>
      <c r="D38" s="121"/>
      <c r="E38" s="249"/>
      <c r="F38" s="255"/>
      <c r="G38" s="121"/>
      <c r="H38" s="249"/>
      <c r="I38" s="255"/>
      <c r="J38" s="121"/>
      <c r="K38" s="249"/>
      <c r="L38" s="255"/>
      <c r="M38" s="121"/>
      <c r="N38" s="249"/>
      <c r="O38" s="255"/>
      <c r="P38" s="121"/>
      <c r="Q38" s="249"/>
      <c r="R38" s="255"/>
      <c r="S38" s="121"/>
      <c r="T38" s="249"/>
      <c r="U38" s="243"/>
    </row>
    <row r="39" spans="1:21" x14ac:dyDescent="0.35">
      <c r="A39" s="19"/>
      <c r="B39" s="85"/>
      <c r="C39" s="87" t="s">
        <v>87</v>
      </c>
      <c r="D39" s="121">
        <f>0.0143635938591096*100</f>
        <v>1.43635938591096</v>
      </c>
      <c r="E39" s="249">
        <v>0.50577754778995276</v>
      </c>
      <c r="F39" s="255">
        <v>0.53078098450997102</v>
      </c>
      <c r="G39" s="121">
        <f>0.0180066191961955*100</f>
        <v>1.8006619196195499</v>
      </c>
      <c r="H39" s="249">
        <v>0.57285485854783635</v>
      </c>
      <c r="I39" s="255">
        <v>0.60117430504767233</v>
      </c>
      <c r="J39" s="121">
        <f>0.0204880132926794*100</f>
        <v>2.0488013292679401</v>
      </c>
      <c r="K39" s="249">
        <v>0.30168439973980843</v>
      </c>
      <c r="L39" s="255">
        <v>0.31659836108758188</v>
      </c>
      <c r="M39" s="121">
        <f>0.0198662158886707*100</f>
        <v>1.98662158886707</v>
      </c>
      <c r="N39" s="249">
        <v>0.71214415735749759</v>
      </c>
      <c r="O39" s="255">
        <v>0.74734945947465226</v>
      </c>
      <c r="P39" s="121">
        <f>0.0169445441118383*100</f>
        <v>1.6944544111838302</v>
      </c>
      <c r="Q39" s="249">
        <v>0.84851574719591905</v>
      </c>
      <c r="R39" s="255">
        <v>0.53912118499099504</v>
      </c>
      <c r="S39" s="121">
        <f>0.017073065559654*100</f>
        <v>1.7073065559653999</v>
      </c>
      <c r="T39" s="249">
        <v>0.65929424730572894</v>
      </c>
      <c r="U39" s="243">
        <v>0.22307307975086721</v>
      </c>
    </row>
    <row r="40" spans="1:21" ht="15" thickBot="1" x14ac:dyDescent="0.4">
      <c r="A40" s="38"/>
      <c r="B40" s="88"/>
      <c r="C40" s="89" t="s">
        <v>88</v>
      </c>
      <c r="D40" s="236">
        <f>0.0179862822691612*100</f>
        <v>1.79862822691612</v>
      </c>
      <c r="E40" s="252">
        <v>0.43657008268869402</v>
      </c>
      <c r="F40" s="258">
        <v>0.4581522040858525</v>
      </c>
      <c r="G40" s="236">
        <f>0.0126678979097245*100</f>
        <v>1.2667897909724499</v>
      </c>
      <c r="H40" s="252">
        <v>0.21736376585013362</v>
      </c>
      <c r="I40" s="258">
        <v>0.22810928270513595</v>
      </c>
      <c r="J40" s="236">
        <f>0.0133109197361691*100</f>
        <v>1.33109197361691</v>
      </c>
      <c r="K40" s="252">
        <v>0.18106359915735326</v>
      </c>
      <c r="L40" s="258">
        <v>0.19001459404356708</v>
      </c>
      <c r="M40" s="236">
        <f>0.0156664863335492*100</f>
        <v>1.5666486333549199</v>
      </c>
      <c r="N40" s="252">
        <v>0.1445499381200932</v>
      </c>
      <c r="O40" s="258">
        <v>0.15169585680798497</v>
      </c>
      <c r="P40" s="236">
        <f>0.0154707866264821*100</f>
        <v>1.54707866264821</v>
      </c>
      <c r="Q40" s="252">
        <v>0.37104526892417761</v>
      </c>
      <c r="R40" s="258">
        <v>0.23575091650186777</v>
      </c>
      <c r="S40" s="236">
        <f>0.015411802653755*100</f>
        <v>1.5411802653755</v>
      </c>
      <c r="T40" s="252">
        <v>0.34878570818006965</v>
      </c>
      <c r="U40" s="246">
        <v>0.11801210523946171</v>
      </c>
    </row>
    <row r="41" spans="1:21" ht="15" thickTop="1" x14ac:dyDescent="0.35">
      <c r="A41" s="96" t="s">
        <v>89</v>
      </c>
      <c r="B41" s="90"/>
      <c r="C41" s="47"/>
      <c r="D41" s="123">
        <f>0.149383210474444*100</f>
        <v>14.938321047444401</v>
      </c>
      <c r="E41" s="251">
        <v>0.13585834146819034</v>
      </c>
      <c r="F41" s="257">
        <v>0.14257458551387753</v>
      </c>
      <c r="G41" s="123">
        <f>0.134975376982142*100</f>
        <v>13.497537698214199</v>
      </c>
      <c r="H41" s="251">
        <v>9.944637269469736E-2</v>
      </c>
      <c r="I41" s="257">
        <v>0.10436256776419429</v>
      </c>
      <c r="J41" s="123">
        <f>0.140807668770031*100</f>
        <v>14.0807668770031</v>
      </c>
      <c r="K41" s="251">
        <v>0.11711424082507246</v>
      </c>
      <c r="L41" s="257">
        <v>0.12290385826119236</v>
      </c>
      <c r="M41" s="123">
        <f>0.134367942066198*100</f>
        <v>13.436794206619801</v>
      </c>
      <c r="N41" s="251">
        <v>0.13520857362271613</v>
      </c>
      <c r="O41" s="257">
        <v>0.14189269597917845</v>
      </c>
      <c r="P41" s="123">
        <f>0.133838448098417*100</f>
        <v>13.383844809841699</v>
      </c>
      <c r="Q41" s="251">
        <v>0.19109642711357389</v>
      </c>
      <c r="R41" s="257">
        <v>0.12141687714515378</v>
      </c>
      <c r="S41" s="123">
        <f>0.134900111163078*100</f>
        <v>13.490011116307802</v>
      </c>
      <c r="T41" s="251">
        <v>0.15893028284704092</v>
      </c>
      <c r="U41" s="245">
        <v>5.3774271207807894E-2</v>
      </c>
    </row>
    <row r="42" spans="1:21" x14ac:dyDescent="0.35">
      <c r="A42" s="73" t="s">
        <v>90</v>
      </c>
      <c r="B42" s="64"/>
      <c r="C42" s="64"/>
      <c r="D42" s="121"/>
      <c r="E42" s="249"/>
      <c r="F42" s="255"/>
      <c r="G42" s="121"/>
      <c r="H42" s="249"/>
      <c r="I42" s="255"/>
      <c r="J42" s="121"/>
      <c r="K42" s="249"/>
      <c r="L42" s="255"/>
      <c r="M42" s="121"/>
      <c r="N42" s="249"/>
      <c r="O42" s="255"/>
      <c r="P42" s="121"/>
      <c r="Q42" s="249"/>
      <c r="R42" s="255"/>
      <c r="S42" s="121"/>
      <c r="T42" s="249"/>
      <c r="U42" s="243"/>
    </row>
    <row r="43" spans="1:21" x14ac:dyDescent="0.35">
      <c r="A43" s="19"/>
      <c r="B43" s="76" t="s">
        <v>91</v>
      </c>
      <c r="C43" s="77"/>
      <c r="D43" s="121">
        <f>0.0151850474174143*100</f>
        <v>1.5185047417414299</v>
      </c>
      <c r="E43" s="249">
        <v>0.22253699165590693</v>
      </c>
      <c r="F43" s="255">
        <v>0.23353825023894406</v>
      </c>
      <c r="G43" s="121">
        <f>0.0220683816987674*100</f>
        <v>2.2068381698767401</v>
      </c>
      <c r="H43" s="249">
        <v>0.5535836891034307</v>
      </c>
      <c r="I43" s="255">
        <v>0.58095045301023862</v>
      </c>
      <c r="J43" s="121">
        <f>0.0324419772160847*100</f>
        <v>3.2441977216084701</v>
      </c>
      <c r="K43" s="249">
        <v>0.21817468864288786</v>
      </c>
      <c r="L43" s="255">
        <v>0.22896029398505621</v>
      </c>
      <c r="M43" s="121">
        <f>0.0141596077447769*100</f>
        <v>1.4159607744776899</v>
      </c>
      <c r="N43" s="249">
        <v>0.38076870672143254</v>
      </c>
      <c r="O43" s="255">
        <v>0.39959225139057303</v>
      </c>
      <c r="P43" s="121">
        <f>0.0281600151669555*100</f>
        <v>2.8160015166955503</v>
      </c>
      <c r="Q43" s="249">
        <v>0.32796185681828138</v>
      </c>
      <c r="R43" s="255">
        <v>0.2083770224230074</v>
      </c>
      <c r="S43" s="121">
        <f>0.0267689833393572*100</f>
        <v>2.67689833393572</v>
      </c>
      <c r="T43" s="249">
        <v>0.46486696415129197</v>
      </c>
      <c r="U43" s="243">
        <v>0.15728835158420104</v>
      </c>
    </row>
    <row r="44" spans="1:21" ht="15" thickBot="1" x14ac:dyDescent="0.4">
      <c r="A44" s="38"/>
      <c r="B44" s="91" t="s">
        <v>92</v>
      </c>
      <c r="C44" s="92"/>
      <c r="D44" s="236">
        <f>0.00305878073880732*100</f>
        <v>0.30587807388073202</v>
      </c>
      <c r="E44" s="252">
        <v>0.70528278204039496</v>
      </c>
      <c r="F44" s="258">
        <v>0.7401488876781821</v>
      </c>
      <c r="G44" s="236">
        <f>0.000808184880462489*100</f>
        <v>8.0818488046248901E-2</v>
      </c>
      <c r="H44" s="252">
        <v>1.4041585647776376</v>
      </c>
      <c r="I44" s="258">
        <v>1.4735740419428474</v>
      </c>
      <c r="J44" s="236">
        <f>0.00650041567658484*100</f>
        <v>0.65004156765848398</v>
      </c>
      <c r="K44" s="252">
        <v>1.1313868613138687</v>
      </c>
      <c r="L44" s="258">
        <v>1.1873176947728294</v>
      </c>
      <c r="M44" s="236">
        <f>0.00353906010458038*100</f>
        <v>0.35390601045803799</v>
      </c>
      <c r="N44" s="252">
        <v>1.2659510581493567</v>
      </c>
      <c r="O44" s="258">
        <v>1.3285341587859689</v>
      </c>
      <c r="P44" s="236">
        <f>0.00548903238851748*100</f>
        <v>0.54890323885174797</v>
      </c>
      <c r="Q44" s="252">
        <v>1.250353647530726</v>
      </c>
      <c r="R44" s="258">
        <v>0.7944368060843221</v>
      </c>
      <c r="S44" s="236">
        <f>0.00508679151165279*100</f>
        <v>0.50867915116527895</v>
      </c>
      <c r="T44" s="252">
        <v>1.3828390717035404</v>
      </c>
      <c r="U44" s="246">
        <v>0.46788542715995046</v>
      </c>
    </row>
    <row r="45" spans="1:21" ht="15" thickTop="1" x14ac:dyDescent="0.35">
      <c r="A45" s="96" t="s">
        <v>93</v>
      </c>
      <c r="B45" s="90"/>
      <c r="C45" s="47"/>
      <c r="D45" s="237">
        <f>0.0182438281562216*100</f>
        <v>1.8243828156221598</v>
      </c>
      <c r="E45" s="253">
        <v>0.16650077519230441</v>
      </c>
      <c r="F45" s="259">
        <v>0.17473184755711346</v>
      </c>
      <c r="G45" s="237">
        <f>0.0228765665792299*100</f>
        <v>2.28765665792299</v>
      </c>
      <c r="H45" s="253">
        <v>0.53331910412695482</v>
      </c>
      <c r="I45" s="259">
        <v>0.55968407530822406</v>
      </c>
      <c r="J45" s="237">
        <f>0.0389423928926696*100</f>
        <v>3.8942392892669595</v>
      </c>
      <c r="K45" s="253">
        <v>0.20935310825098732</v>
      </c>
      <c r="L45" s="259">
        <v>0.21970261312158823</v>
      </c>
      <c r="M45" s="237">
        <f>0.0176986678493573*100</f>
        <v>1.7698667849357301</v>
      </c>
      <c r="N45" s="253">
        <v>0.42302132780585211</v>
      </c>
      <c r="O45" s="259">
        <v>0.44393365783558347</v>
      </c>
      <c r="P45" s="237">
        <f>0.033649047555473*100</f>
        <v>3.3649047555473004</v>
      </c>
      <c r="Q45" s="253">
        <v>0.34864489449148739</v>
      </c>
      <c r="R45" s="259">
        <v>0.22151839760248015</v>
      </c>
      <c r="S45" s="237">
        <f>0.03185577485101*100</f>
        <v>3.1855774851010001</v>
      </c>
      <c r="T45" s="253">
        <v>0.46711149879123365</v>
      </c>
      <c r="U45" s="247">
        <v>0.15804779284549739</v>
      </c>
    </row>
    <row r="46" spans="1:21" x14ac:dyDescent="0.35">
      <c r="A46" s="63" t="s">
        <v>94</v>
      </c>
      <c r="B46" s="64"/>
      <c r="C46" s="64"/>
      <c r="D46" s="121"/>
      <c r="E46" s="249"/>
      <c r="F46" s="255"/>
      <c r="G46" s="121"/>
      <c r="H46" s="249"/>
      <c r="I46" s="255"/>
      <c r="J46" s="121"/>
      <c r="K46" s="249"/>
      <c r="L46" s="255"/>
      <c r="M46" s="121"/>
      <c r="N46" s="249"/>
      <c r="O46" s="255"/>
      <c r="P46" s="121"/>
      <c r="Q46" s="249"/>
      <c r="R46" s="255"/>
      <c r="S46" s="121"/>
      <c r="T46" s="249"/>
      <c r="U46" s="243"/>
    </row>
    <row r="47" spans="1:21" x14ac:dyDescent="0.35">
      <c r="A47" s="19"/>
      <c r="B47" s="76" t="s">
        <v>95</v>
      </c>
      <c r="C47" s="77"/>
      <c r="D47" s="121"/>
      <c r="E47" s="249"/>
      <c r="F47" s="255"/>
      <c r="G47" s="121"/>
      <c r="H47" s="249"/>
      <c r="I47" s="255"/>
      <c r="J47" s="121"/>
      <c r="K47" s="249"/>
      <c r="L47" s="255"/>
      <c r="M47" s="121"/>
      <c r="N47" s="249"/>
      <c r="O47" s="255"/>
      <c r="P47" s="121"/>
      <c r="Q47" s="249"/>
      <c r="R47" s="255"/>
      <c r="S47" s="121"/>
      <c r="T47" s="249"/>
      <c r="U47" s="243"/>
    </row>
    <row r="48" spans="1:21" x14ac:dyDescent="0.35">
      <c r="A48" s="19"/>
      <c r="B48" s="85"/>
      <c r="C48" s="86" t="s">
        <v>96</v>
      </c>
      <c r="D48" s="121">
        <f>0.00647170723089249*100</f>
        <v>0.64717072308924906</v>
      </c>
      <c r="E48" s="249">
        <v>0.26987245284733602</v>
      </c>
      <c r="F48" s="255">
        <v>0.28321377024414301</v>
      </c>
      <c r="G48" s="121">
        <f>0.00597970125045163*100</f>
        <v>0.597970125045163</v>
      </c>
      <c r="H48" s="249">
        <v>0.17535633667192652</v>
      </c>
      <c r="I48" s="255">
        <v>0.18402518938511891</v>
      </c>
      <c r="J48" s="121">
        <f>0.00598563336650824*100</f>
        <v>0.59856333665082406</v>
      </c>
      <c r="K48" s="249">
        <v>0.25854593076578858</v>
      </c>
      <c r="L48" s="255">
        <v>0.27132731429569829</v>
      </c>
      <c r="M48" s="121">
        <f>0.00708535996103978*100</f>
        <v>0.70853599610397799</v>
      </c>
      <c r="N48" s="249">
        <v>0.4185606750267491</v>
      </c>
      <c r="O48" s="255">
        <v>0.43925248983199172</v>
      </c>
      <c r="P48" s="121">
        <f>0.0056621613550591*100</f>
        <v>0.56621613550590999</v>
      </c>
      <c r="Q48" s="249">
        <v>0.32769747713170055</v>
      </c>
      <c r="R48" s="255">
        <v>0.20820904358420797</v>
      </c>
      <c r="S48" s="121">
        <f>0.0057831347439742*100</f>
        <v>0.57831347439741998</v>
      </c>
      <c r="T48" s="249">
        <v>0.32114597084949642</v>
      </c>
      <c r="U48" s="243">
        <v>0.10866016359120274</v>
      </c>
    </row>
    <row r="49" spans="1:21" x14ac:dyDescent="0.35">
      <c r="A49" s="19"/>
      <c r="B49" s="85"/>
      <c r="C49" s="94" t="s">
        <v>97</v>
      </c>
      <c r="D49" s="121">
        <f>0.00944872481081462*100</f>
        <v>0.94487248108146205</v>
      </c>
      <c r="E49" s="249">
        <v>0.37472112327077561</v>
      </c>
      <c r="F49" s="255">
        <v>0.39324570178220852</v>
      </c>
      <c r="G49" s="121">
        <f>0.00673320695583332*100</f>
        <v>0.67332069558333196</v>
      </c>
      <c r="H49" s="249">
        <v>0.3201168726437596</v>
      </c>
      <c r="I49" s="255">
        <v>0.33594205508440528</v>
      </c>
      <c r="J49" s="121">
        <f>0.00758856311830999*100</f>
        <v>0.758856311830999</v>
      </c>
      <c r="K49" s="249">
        <v>0.45896091237104175</v>
      </c>
      <c r="L49" s="255">
        <v>0.48164993876134915</v>
      </c>
      <c r="M49" s="121">
        <f>0.00618409503526344*100</f>
        <v>0.61840950352634405</v>
      </c>
      <c r="N49" s="249">
        <v>0.4427174422446411</v>
      </c>
      <c r="O49" s="255">
        <v>0.46460346229511851</v>
      </c>
      <c r="P49" s="121">
        <f>0.00789382599793668*100</f>
        <v>0.78938259979366798</v>
      </c>
      <c r="Q49" s="249">
        <v>0.35620436368836095</v>
      </c>
      <c r="R49" s="255">
        <v>0.22632145518248331</v>
      </c>
      <c r="S49" s="121">
        <f>0.00784221954827214*100</f>
        <v>0.78422195482721402</v>
      </c>
      <c r="T49" s="249">
        <v>0.41719474694615655</v>
      </c>
      <c r="U49" s="243">
        <v>0.14115839389996473</v>
      </c>
    </row>
    <row r="50" spans="1:21" ht="15" thickBot="1" x14ac:dyDescent="0.4">
      <c r="A50" s="38"/>
      <c r="B50" s="39" t="s">
        <v>98</v>
      </c>
      <c r="C50" s="40"/>
      <c r="D50" s="122">
        <f>0.0142996830342197*100</f>
        <v>1.4299683034219701</v>
      </c>
      <c r="E50" s="250">
        <v>1.4614317043677751</v>
      </c>
      <c r="F50" s="256">
        <v>1.5336785158374755</v>
      </c>
      <c r="G50" s="122">
        <f>0.0159614846843321*100</f>
        <v>1.5961484684332099</v>
      </c>
      <c r="H50" s="250">
        <v>0.4930988990013489</v>
      </c>
      <c r="I50" s="256">
        <v>0.51747555860548611</v>
      </c>
      <c r="J50" s="122">
        <f>0.00476807862291979*100</f>
        <v>0.47680786229197897</v>
      </c>
      <c r="K50" s="250">
        <v>0.963802046991448</v>
      </c>
      <c r="L50" s="256">
        <v>1.0114482179175301</v>
      </c>
      <c r="M50" s="122">
        <f>0.00683272080958221*100</f>
        <v>0.68327208095822101</v>
      </c>
      <c r="N50" s="250">
        <v>0.90337751261791488</v>
      </c>
      <c r="O50" s="256">
        <v>0.9480365580218244</v>
      </c>
      <c r="P50" s="122">
        <f>0.0150442778366247*100</f>
        <v>1.50442778366247</v>
      </c>
      <c r="Q50" s="250">
        <v>2.0659623546620014</v>
      </c>
      <c r="R50" s="256">
        <v>1.3126498553184678</v>
      </c>
      <c r="S50" s="122">
        <f>0.014455386678598*100</f>
        <v>1.4455386678597999</v>
      </c>
      <c r="T50" s="250">
        <v>1.7389937263074347</v>
      </c>
      <c r="U50" s="244">
        <v>0.58839082515905528</v>
      </c>
    </row>
    <row r="51" spans="1:21" ht="15" thickTop="1" x14ac:dyDescent="0.35">
      <c r="A51" s="96" t="s">
        <v>99</v>
      </c>
      <c r="B51" s="90"/>
      <c r="C51" s="47"/>
      <c r="D51" s="123">
        <f>0.0302201150759268*100</f>
        <v>3.0220115075926799</v>
      </c>
      <c r="E51" s="251">
        <v>0.70360986395700076</v>
      </c>
      <c r="F51" s="257">
        <v>0.73839326781884174</v>
      </c>
      <c r="G51" s="123">
        <f>0.028674392890617*100</f>
        <v>2.8674392890617</v>
      </c>
      <c r="H51" s="251">
        <v>0.23873801439123421</v>
      </c>
      <c r="I51" s="257">
        <v>0.25054018090016167</v>
      </c>
      <c r="J51" s="123">
        <f>0.018342275107738*100</f>
        <v>1.8342275107738</v>
      </c>
      <c r="K51" s="251">
        <v>0.35041056240476126</v>
      </c>
      <c r="L51" s="257">
        <v>0.36773333278355247</v>
      </c>
      <c r="M51" s="123">
        <f>0.0201021758058854*100</f>
        <v>2.0102175805885398</v>
      </c>
      <c r="N51" s="251">
        <v>0.54445798855307115</v>
      </c>
      <c r="O51" s="257">
        <v>0.57137361761367289</v>
      </c>
      <c r="P51" s="123">
        <f>0.0286002651896205*100</f>
        <v>2.8600265189620497</v>
      </c>
      <c r="Q51" s="251">
        <v>1.0526874735439062</v>
      </c>
      <c r="R51" s="257">
        <v>0.66884571092247258</v>
      </c>
      <c r="S51" s="242">
        <f>0.0280807409708443*100</f>
        <v>2.8080740970844302</v>
      </c>
      <c r="T51" s="251">
        <v>0.80742311773041231</v>
      </c>
      <c r="U51" s="245">
        <v>0.27319267879285347</v>
      </c>
    </row>
    <row r="52" spans="1:21" x14ac:dyDescent="0.35">
      <c r="A52" s="63" t="s">
        <v>100</v>
      </c>
      <c r="B52" s="64"/>
      <c r="C52" s="64"/>
      <c r="D52" s="121"/>
      <c r="E52" s="249"/>
      <c r="F52" s="255"/>
      <c r="G52" s="121"/>
      <c r="H52" s="249"/>
      <c r="I52" s="255"/>
      <c r="J52" s="121"/>
      <c r="K52" s="249"/>
      <c r="L52" s="255"/>
      <c r="M52" s="121"/>
      <c r="N52" s="249"/>
      <c r="O52" s="255"/>
      <c r="P52" s="121"/>
      <c r="Q52" s="249"/>
      <c r="R52" s="255"/>
      <c r="S52" s="121"/>
      <c r="T52" s="249"/>
      <c r="U52" s="243"/>
    </row>
    <row r="53" spans="1:21" x14ac:dyDescent="0.35">
      <c r="A53" s="19"/>
      <c r="B53" s="65" t="s">
        <v>101</v>
      </c>
      <c r="C53" s="66"/>
      <c r="D53" s="121">
        <f>0.00831332984610205*100</f>
        <v>0.83133298461020511</v>
      </c>
      <c r="E53" s="249">
        <v>0.64205401078532098</v>
      </c>
      <c r="F53" s="255">
        <v>0.67379436165627671</v>
      </c>
      <c r="G53" s="121">
        <f>0.019366096857122*100</f>
        <v>1.9366096857122002</v>
      </c>
      <c r="H53" s="249">
        <v>1.0614336016410824</v>
      </c>
      <c r="I53" s="255">
        <v>1.1139062509453088</v>
      </c>
      <c r="J53" s="121">
        <f>0.00483339910161637*100</f>
        <v>0.48333991016163702</v>
      </c>
      <c r="K53" s="249">
        <v>0.66439692588807153</v>
      </c>
      <c r="L53" s="255">
        <v>0.69724181306427335</v>
      </c>
      <c r="M53" s="121">
        <f>0.0168938768265269*100</f>
        <v>1.6893876826526901</v>
      </c>
      <c r="N53" s="249">
        <v>0.71186210597502408</v>
      </c>
      <c r="O53" s="255">
        <v>0.74705346470160261</v>
      </c>
      <c r="P53" s="121">
        <f>0.0094036399728721*100</f>
        <v>0.9403639972872101</v>
      </c>
      <c r="Q53" s="249">
        <v>1.1605360975651382</v>
      </c>
      <c r="R53" s="255">
        <v>0.73736945744588245</v>
      </c>
      <c r="S53" s="121">
        <f>0.0100027159446853*100</f>
        <v>1.0002715944685299</v>
      </c>
      <c r="T53" s="249">
        <v>1.123929420286425</v>
      </c>
      <c r="U53" s="243">
        <v>0.38028300448621399</v>
      </c>
    </row>
    <row r="54" spans="1:21" x14ac:dyDescent="0.35">
      <c r="A54" s="19"/>
      <c r="B54" s="71" t="s">
        <v>132</v>
      </c>
      <c r="C54" s="72"/>
      <c r="D54" s="121"/>
      <c r="E54" s="249"/>
      <c r="F54" s="255"/>
      <c r="G54" s="121"/>
      <c r="H54" s="249"/>
      <c r="I54" s="255"/>
      <c r="J54" s="121"/>
      <c r="K54" s="249"/>
      <c r="L54" s="255"/>
      <c r="M54" s="121"/>
      <c r="N54" s="249"/>
      <c r="O54" s="255"/>
      <c r="P54" s="121"/>
      <c r="Q54" s="249"/>
      <c r="R54" s="255"/>
      <c r="S54" s="121"/>
      <c r="T54" s="249"/>
      <c r="U54" s="243"/>
    </row>
    <row r="55" spans="1:21" x14ac:dyDescent="0.35">
      <c r="A55" s="19"/>
      <c r="B55" s="85"/>
      <c r="C55" s="79" t="s">
        <v>202</v>
      </c>
      <c r="D55" s="121">
        <f>0.0367305267607295*100</f>
        <v>3.6730526760729498</v>
      </c>
      <c r="E55" s="249">
        <v>0.74117695357338043</v>
      </c>
      <c r="F55" s="255">
        <v>0.77781751054943693</v>
      </c>
      <c r="G55" s="121">
        <f>0.0191293760381746*100</f>
        <v>1.9129376038174599</v>
      </c>
      <c r="H55" s="249">
        <v>1.4465861270442844</v>
      </c>
      <c r="I55" s="255">
        <v>1.5180990378993726</v>
      </c>
      <c r="J55" s="121">
        <f>0.0265123171441431*100</f>
        <v>2.65123171441431</v>
      </c>
      <c r="K55" s="249">
        <v>0.4231653880515831</v>
      </c>
      <c r="L55" s="255">
        <v>0.44408483979174573</v>
      </c>
      <c r="M55" s="121">
        <f>0.0310069464062786*100</f>
        <v>3.1006946406278599</v>
      </c>
      <c r="N55" s="249">
        <v>0.64783801501973048</v>
      </c>
      <c r="O55" s="255">
        <v>0.67986430184117541</v>
      </c>
      <c r="P55" s="121">
        <f>0.0230404032399557*100</f>
        <v>2.30404032399557</v>
      </c>
      <c r="Q55" s="249">
        <v>0.62393126507585495</v>
      </c>
      <c r="R55" s="255">
        <v>0.39642701280705633</v>
      </c>
      <c r="S55" s="121">
        <f>0.0239535202679787*100</f>
        <v>2.3953520267978701</v>
      </c>
      <c r="T55" s="249">
        <v>0.78997494498727994</v>
      </c>
      <c r="U55" s="243">
        <v>0.26728906648963435</v>
      </c>
    </row>
    <row r="56" spans="1:21" ht="15" thickBot="1" x14ac:dyDescent="0.4">
      <c r="A56" s="38"/>
      <c r="B56" s="88"/>
      <c r="C56" s="89" t="s">
        <v>102</v>
      </c>
      <c r="D56" s="122">
        <f>0.0377708277164614*100</f>
        <v>3.7770827716461399</v>
      </c>
      <c r="E56" s="250">
        <v>0.55725290320648291</v>
      </c>
      <c r="F56" s="256">
        <v>0.58480105706039054</v>
      </c>
      <c r="G56" s="122">
        <f>0.013140360970649*100</f>
        <v>1.3140360970649001</v>
      </c>
      <c r="H56" s="250">
        <v>0.69755752998786114</v>
      </c>
      <c r="I56" s="256">
        <v>0.73204173284707352</v>
      </c>
      <c r="J56" s="122">
        <f>0.015532154079251*100</f>
        <v>1.5532154079250999</v>
      </c>
      <c r="K56" s="250">
        <v>0.36082553013061763</v>
      </c>
      <c r="L56" s="256">
        <v>0.37866317110343256</v>
      </c>
      <c r="M56" s="122">
        <f>0.0244157404343269*100</f>
        <v>2.44157404343269</v>
      </c>
      <c r="N56" s="250">
        <v>0.44754384308177997</v>
      </c>
      <c r="O56" s="256">
        <v>0.46966845934603585</v>
      </c>
      <c r="P56" s="122">
        <f>0.0307111944844065*100</f>
        <v>3.0711194484406503</v>
      </c>
      <c r="Q56" s="250">
        <v>0.77341057086584775</v>
      </c>
      <c r="R56" s="256">
        <v>0.49140163258924513</v>
      </c>
      <c r="S56" s="122">
        <f>0.0295588830279779*100</f>
        <v>2.9558883027977898</v>
      </c>
      <c r="T56" s="250">
        <v>0.76596409070626226</v>
      </c>
      <c r="U56" s="244">
        <v>0.25916496221630808</v>
      </c>
    </row>
    <row r="57" spans="1:21" ht="15" thickTop="1" x14ac:dyDescent="0.35">
      <c r="A57" s="96" t="s">
        <v>103</v>
      </c>
      <c r="B57" s="90"/>
      <c r="C57" s="47"/>
      <c r="D57" s="123">
        <f>0.0828146843232929*100</f>
        <v>8.2814684323292909</v>
      </c>
      <c r="E57" s="251">
        <v>0.57762027198246546</v>
      </c>
      <c r="F57" s="257">
        <v>0.60617529974481132</v>
      </c>
      <c r="G57" s="123">
        <f>0.0516358338659456*100</f>
        <v>5.16358338659456</v>
      </c>
      <c r="H57" s="251">
        <v>0.76758220173335479</v>
      </c>
      <c r="I57" s="257">
        <v>0.80552811904881194</v>
      </c>
      <c r="J57" s="123">
        <f>0.0468778703250104*100</f>
        <v>4.6877870325010402</v>
      </c>
      <c r="K57" s="251">
        <v>0.37517195013845234</v>
      </c>
      <c r="L57" s="257">
        <v>0.39371881556457117</v>
      </c>
      <c r="M57" s="123">
        <f>0.0723165636671324*100</f>
        <v>7.2316563667132403</v>
      </c>
      <c r="N57" s="251">
        <v>0.43991502442932262</v>
      </c>
      <c r="O57" s="257">
        <v>0.46166250516184387</v>
      </c>
      <c r="P57" s="123">
        <f>0.0631552376972343*100</f>
        <v>6.3155237697234305</v>
      </c>
      <c r="Q57" s="251">
        <v>0.44297037756233726</v>
      </c>
      <c r="R57" s="257">
        <v>0.2814499502885176</v>
      </c>
      <c r="S57" s="123">
        <f>0.0635151192406419*100</f>
        <v>6.3515119240641909</v>
      </c>
      <c r="T57" s="251">
        <v>0.56207022284445241</v>
      </c>
      <c r="U57" s="245">
        <v>0.19017720260499338</v>
      </c>
    </row>
    <row r="58" spans="1:21" x14ac:dyDescent="0.35">
      <c r="A58" s="63" t="s">
        <v>104</v>
      </c>
      <c r="B58" s="64"/>
      <c r="C58" s="64"/>
      <c r="D58" s="121"/>
      <c r="E58" s="249"/>
      <c r="F58" s="255"/>
      <c r="G58" s="121"/>
      <c r="H58" s="249"/>
      <c r="I58" s="255"/>
      <c r="J58" s="121"/>
      <c r="K58" s="249"/>
      <c r="L58" s="255"/>
      <c r="M58" s="121"/>
      <c r="N58" s="249"/>
      <c r="O58" s="255"/>
      <c r="P58" s="121"/>
      <c r="Q58" s="249"/>
      <c r="R58" s="255"/>
      <c r="S58" s="121"/>
      <c r="T58" s="249"/>
      <c r="U58" s="243"/>
    </row>
    <row r="59" spans="1:21" x14ac:dyDescent="0.35">
      <c r="A59" s="19"/>
      <c r="B59" s="76" t="s">
        <v>105</v>
      </c>
      <c r="C59" s="77"/>
      <c r="D59" s="121"/>
      <c r="E59" s="249"/>
      <c r="F59" s="255"/>
      <c r="G59" s="121"/>
      <c r="H59" s="249"/>
      <c r="I59" s="255"/>
      <c r="J59" s="121"/>
      <c r="K59" s="249"/>
      <c r="L59" s="255"/>
      <c r="M59" s="121"/>
      <c r="N59" s="249"/>
      <c r="O59" s="255"/>
      <c r="P59" s="121"/>
      <c r="Q59" s="249"/>
      <c r="R59" s="255"/>
      <c r="S59" s="121"/>
      <c r="T59" s="249"/>
      <c r="U59" s="243"/>
    </row>
    <row r="60" spans="1:21" x14ac:dyDescent="0.35">
      <c r="A60" s="19"/>
      <c r="B60" s="27"/>
      <c r="C60" s="87" t="s">
        <v>106</v>
      </c>
      <c r="D60" s="121">
        <f>0.00026609312063226*100</f>
        <v>2.6609312063226E-2</v>
      </c>
      <c r="E60" s="249">
        <v>2.2360679774997894</v>
      </c>
      <c r="F60" s="255">
        <v>2.3466094288184114</v>
      </c>
      <c r="G60" s="121">
        <f>0.000130029745618965*100</f>
        <v>1.3002974561896499E-2</v>
      </c>
      <c r="H60" s="249">
        <v>1.4315410104828572</v>
      </c>
      <c r="I60" s="255">
        <v>1.5023101563734218</v>
      </c>
      <c r="J60" s="121">
        <f>0.000267292031470277*100</f>
        <v>2.6729203147027699E-2</v>
      </c>
      <c r="K60" s="249">
        <v>1.4304970840572293</v>
      </c>
      <c r="L60" s="255">
        <v>1.5012146227769385</v>
      </c>
      <c r="M60" s="121">
        <f>0.000168366322767858*100</f>
        <v>1.68366322767858E-2</v>
      </c>
      <c r="N60" s="249">
        <v>1.5189470036838022</v>
      </c>
      <c r="O60" s="255">
        <v>1.5940371207789994</v>
      </c>
      <c r="P60" s="121">
        <f>0.000404333414066982*100</f>
        <v>4.0433341406698201E-2</v>
      </c>
      <c r="Q60" s="249">
        <v>1.2626634681244024</v>
      </c>
      <c r="R60" s="255">
        <v>0.80225809294602246</v>
      </c>
      <c r="S60" s="121">
        <f>0.000370960519086395*100</f>
        <v>3.7096051908639502E-2</v>
      </c>
      <c r="T60" s="249">
        <v>1.6327552717206468</v>
      </c>
      <c r="U60" s="243">
        <v>0.55244490366877164</v>
      </c>
    </row>
    <row r="61" spans="1:21" x14ac:dyDescent="0.35">
      <c r="A61" s="95"/>
      <c r="B61" s="27"/>
      <c r="C61" s="87" t="s">
        <v>107</v>
      </c>
      <c r="D61" s="121">
        <f>0.0103856951325561*100</f>
        <v>1.0385695132556101</v>
      </c>
      <c r="E61" s="249">
        <v>0.95680200782228508</v>
      </c>
      <c r="F61" s="255">
        <v>1.0041021273327426</v>
      </c>
      <c r="G61" s="121">
        <f>0.00834401712450564*100</f>
        <v>0.83440171245056405</v>
      </c>
      <c r="H61" s="249">
        <v>0.7135220767651963</v>
      </c>
      <c r="I61" s="255">
        <v>0.74879549720999561</v>
      </c>
      <c r="J61" s="121">
        <f>0.00834615414241806*100</f>
        <v>0.83461541424180596</v>
      </c>
      <c r="K61" s="249">
        <v>1.2345118321952306</v>
      </c>
      <c r="L61" s="255">
        <v>1.2955407145789664</v>
      </c>
      <c r="M61" s="121">
        <f>0.00323768438682592*100</f>
        <v>0.32376843868259203</v>
      </c>
      <c r="N61" s="249">
        <v>0.75604461307649773</v>
      </c>
      <c r="O61" s="255">
        <v>0.79342016231384649</v>
      </c>
      <c r="P61" s="121">
        <f>0.00621023117197573*100</f>
        <v>0.62102311719757297</v>
      </c>
      <c r="Q61" s="249">
        <v>1.6781948416305283</v>
      </c>
      <c r="R61" s="255">
        <v>1.0662741318066808</v>
      </c>
      <c r="S61" s="121">
        <f>0.00647136573839267*100</f>
        <v>0.64713657383926693</v>
      </c>
      <c r="T61" s="249">
        <v>1.280811833652888</v>
      </c>
      <c r="U61" s="243">
        <v>0.43336437634926472</v>
      </c>
    </row>
    <row r="62" spans="1:21" x14ac:dyDescent="0.35">
      <c r="A62" s="19"/>
      <c r="B62" s="76" t="s">
        <v>108</v>
      </c>
      <c r="C62" s="77"/>
      <c r="D62" s="121">
        <f>0.000417685565113669*100</f>
        <v>4.1768556511366899E-2</v>
      </c>
      <c r="E62" s="249">
        <v>0.74808880283971246</v>
      </c>
      <c r="F62" s="255">
        <v>0.78507105150711476</v>
      </c>
      <c r="G62" s="121">
        <f>0.000213382146656763*100</f>
        <v>2.13382146656763E-2</v>
      </c>
      <c r="H62" s="249">
        <v>1.5665572324367849</v>
      </c>
      <c r="I62" s="255">
        <v>1.6440009916559799</v>
      </c>
      <c r="J62" s="121">
        <f>0.000262547202509266*100</f>
        <v>2.6254720250926601E-2</v>
      </c>
      <c r="K62" s="249">
        <v>0.59963215123514646</v>
      </c>
      <c r="L62" s="255">
        <v>0.62927535033366178</v>
      </c>
      <c r="M62" s="121">
        <f>0.000454589071473217*100</f>
        <v>4.5458907147321696E-2</v>
      </c>
      <c r="N62" s="249">
        <v>1.2568168034229392</v>
      </c>
      <c r="O62" s="255">
        <v>1.3189483463321783</v>
      </c>
      <c r="P62" s="121">
        <f>0.00239546918578867*100</f>
        <v>0.23954691857886701</v>
      </c>
      <c r="Q62" s="249">
        <v>1.9228564316850634</v>
      </c>
      <c r="R62" s="255">
        <v>1.2217246897814478</v>
      </c>
      <c r="S62" s="121">
        <f>0.00205433266076642*100</f>
        <v>0.20543326607664203</v>
      </c>
      <c r="T62" s="249">
        <v>2.7787493924905315</v>
      </c>
      <c r="U62" s="243">
        <v>0.94019352871930906</v>
      </c>
    </row>
    <row r="63" spans="1:21" ht="15" thickBot="1" x14ac:dyDescent="0.4">
      <c r="A63" s="38"/>
      <c r="B63" s="91" t="s">
        <v>109</v>
      </c>
      <c r="C63" s="92"/>
      <c r="D63" s="122">
        <v>0</v>
      </c>
      <c r="E63" s="250">
        <v>0</v>
      </c>
      <c r="F63" s="256">
        <v>0</v>
      </c>
      <c r="G63" s="122">
        <v>0</v>
      </c>
      <c r="H63" s="250">
        <v>0</v>
      </c>
      <c r="I63" s="256">
        <v>0</v>
      </c>
      <c r="J63" s="122">
        <v>0</v>
      </c>
      <c r="K63" s="250">
        <v>0</v>
      </c>
      <c r="L63" s="256">
        <v>0</v>
      </c>
      <c r="M63" s="122">
        <v>0</v>
      </c>
      <c r="N63" s="250">
        <v>0</v>
      </c>
      <c r="O63" s="256">
        <v>0</v>
      </c>
      <c r="P63" s="122">
        <v>0</v>
      </c>
      <c r="Q63" s="250">
        <v>0</v>
      </c>
      <c r="R63" s="256">
        <v>0</v>
      </c>
      <c r="S63" s="122">
        <v>0</v>
      </c>
      <c r="T63" s="250">
        <v>0</v>
      </c>
      <c r="U63" s="244">
        <v>0</v>
      </c>
    </row>
    <row r="64" spans="1:21" ht="15" thickTop="1" x14ac:dyDescent="0.35">
      <c r="A64" s="96" t="s">
        <v>110</v>
      </c>
      <c r="B64" s="90"/>
      <c r="C64" s="47"/>
      <c r="D64" s="123">
        <f>0.011069473818302*100</f>
        <v>1.1069473818302</v>
      </c>
      <c r="E64" s="251">
        <v>0.90630512741371871</v>
      </c>
      <c r="F64" s="257">
        <v>0.95110890132842785</v>
      </c>
      <c r="G64" s="123">
        <f>0.00868742901678136*100</f>
        <v>0.86874290167813595</v>
      </c>
      <c r="H64" s="251">
        <v>0.67010695381102447</v>
      </c>
      <c r="I64" s="257">
        <v>0.70323411987142148</v>
      </c>
      <c r="J64" s="123">
        <f>0.0088759933763976*100</f>
        <v>0.88759933763975996</v>
      </c>
      <c r="K64" s="251">
        <v>1.1345690073064001</v>
      </c>
      <c r="L64" s="257">
        <v>1.1906571521887439</v>
      </c>
      <c r="M64" s="123">
        <f>0.00386063978106699*100</f>
        <v>0.38606397810669901</v>
      </c>
      <c r="N64" s="251">
        <v>0.58607410600004939</v>
      </c>
      <c r="O64" s="257">
        <v>0.61504705445662899</v>
      </c>
      <c r="P64" s="123">
        <f>0.00901003377183139*100</f>
        <v>0.90100337718313894</v>
      </c>
      <c r="Q64" s="251">
        <v>1.1742620988942927</v>
      </c>
      <c r="R64" s="257">
        <v>0.74609054261868724</v>
      </c>
      <c r="S64" s="123">
        <f>0.00889665891824549*100</f>
        <v>0.88966589182454903</v>
      </c>
      <c r="T64" s="251">
        <v>1.0839002966164772</v>
      </c>
      <c r="U64" s="245">
        <v>0.36673909759900164</v>
      </c>
    </row>
    <row r="65" spans="1:21" x14ac:dyDescent="0.35">
      <c r="A65" s="63" t="s">
        <v>133</v>
      </c>
      <c r="B65" s="64"/>
      <c r="C65" s="64"/>
      <c r="D65" s="124"/>
      <c r="E65" s="249"/>
      <c r="F65" s="255"/>
      <c r="G65" s="121"/>
      <c r="H65" s="249"/>
      <c r="I65" s="255"/>
      <c r="J65" s="121"/>
      <c r="K65" s="249"/>
      <c r="L65" s="255"/>
      <c r="M65" s="121"/>
      <c r="N65" s="249"/>
      <c r="O65" s="255"/>
      <c r="P65" s="121"/>
      <c r="Q65" s="249"/>
      <c r="R65" s="255"/>
      <c r="S65" s="121"/>
      <c r="T65" s="249"/>
      <c r="U65" s="243"/>
    </row>
    <row r="66" spans="1:21" x14ac:dyDescent="0.35">
      <c r="A66" s="19"/>
      <c r="B66" s="76" t="s">
        <v>112</v>
      </c>
      <c r="C66" s="77"/>
      <c r="D66" s="121">
        <f>0.000446713905546279*100</f>
        <v>4.4671390554627904E-2</v>
      </c>
      <c r="E66" s="249">
        <v>0.92326358352937643</v>
      </c>
      <c r="F66" s="255">
        <v>0.96890570957381106</v>
      </c>
      <c r="G66" s="121">
        <f>0.00134030660868779*100</f>
        <v>0.13403066086877899</v>
      </c>
      <c r="H66" s="249">
        <v>1.1334115174024395</v>
      </c>
      <c r="I66" s="255">
        <v>1.1894424410307081</v>
      </c>
      <c r="J66" s="121">
        <f>0.00139497971453719*100</f>
        <v>0.13949797145371901</v>
      </c>
      <c r="K66" s="249">
        <v>1.6757860556970916</v>
      </c>
      <c r="L66" s="255">
        <v>1.7586296116892453</v>
      </c>
      <c r="M66" s="121">
        <f>0.000959688039776793*100</f>
        <v>9.596880397767929E-2</v>
      </c>
      <c r="N66" s="249">
        <v>0.81762668054252929</v>
      </c>
      <c r="O66" s="255">
        <v>0.85804657869117906</v>
      </c>
      <c r="P66" s="121">
        <f>0.00104879136587579*100</f>
        <v>0.104879136587579</v>
      </c>
      <c r="Q66" s="249">
        <v>1.4443799426101436</v>
      </c>
      <c r="R66" s="255">
        <v>0.91771523252285403</v>
      </c>
      <c r="S66" s="121">
        <f>0.00103807878473158*100</f>
        <v>0.10380787847315801</v>
      </c>
      <c r="T66" s="249">
        <v>1.4690327092264488</v>
      </c>
      <c r="U66" s="243">
        <v>0.49704915830994928</v>
      </c>
    </row>
    <row r="67" spans="1:21" ht="15" thickBot="1" x14ac:dyDescent="0.4">
      <c r="A67" s="38"/>
      <c r="B67" s="91" t="s">
        <v>113</v>
      </c>
      <c r="C67" s="92"/>
      <c r="D67" s="122">
        <f>0.00415427805302244*100</f>
        <v>0.41542780530224399</v>
      </c>
      <c r="E67" s="250">
        <v>1.0280579098702731</v>
      </c>
      <c r="F67" s="256">
        <v>1.0788806104948385</v>
      </c>
      <c r="G67" s="122">
        <f>0.010267348759836*100</f>
        <v>1.0267348759836001</v>
      </c>
      <c r="H67" s="250">
        <v>1.1636203865701724</v>
      </c>
      <c r="I67" s="256">
        <v>1.2211447049762818</v>
      </c>
      <c r="J67" s="122">
        <f>0.00454080131568737*100</f>
        <v>0.454080131568737</v>
      </c>
      <c r="K67" s="250">
        <v>0.88416794784925357</v>
      </c>
      <c r="L67" s="256">
        <v>0.92787735612670086</v>
      </c>
      <c r="M67" s="122">
        <f>0.00365354920406253*100</f>
        <v>0.365354920406253</v>
      </c>
      <c r="N67" s="250">
        <v>1.3372627157201347</v>
      </c>
      <c r="O67" s="256">
        <v>1.4033711537808016</v>
      </c>
      <c r="P67" s="122">
        <f>0.00518462708964134*100</f>
        <v>0.51846270896413404</v>
      </c>
      <c r="Q67" s="250">
        <v>1.6423332835149984</v>
      </c>
      <c r="R67" s="256">
        <v>1.043488784839627</v>
      </c>
      <c r="S67" s="122">
        <f>0.00530404219400436*100</f>
        <v>0.53040421940043592</v>
      </c>
      <c r="T67" s="250">
        <v>1.427624586628002</v>
      </c>
      <c r="U67" s="244">
        <v>0.48303866531310441</v>
      </c>
    </row>
    <row r="68" spans="1:21" ht="15" thickTop="1" x14ac:dyDescent="0.35">
      <c r="A68" s="96" t="s">
        <v>114</v>
      </c>
      <c r="B68" s="119"/>
      <c r="C68" s="97"/>
      <c r="D68" s="123">
        <f>0.00460099195856872*100</f>
        <v>0.46009919585687198</v>
      </c>
      <c r="E68" s="251">
        <v>0.90707339881508908</v>
      </c>
      <c r="F68" s="257">
        <v>0.95191515271813865</v>
      </c>
      <c r="G68" s="123">
        <f>0.0116076553685237*100</f>
        <v>1.1607655368523702</v>
      </c>
      <c r="H68" s="251">
        <v>1.1448615040939509</v>
      </c>
      <c r="I68" s="257">
        <v>1.2014584651411149</v>
      </c>
      <c r="J68" s="123">
        <f>0.00593578103022455*100</f>
        <v>0.59357810302245495</v>
      </c>
      <c r="K68" s="251">
        <v>0.96581970919318039</v>
      </c>
      <c r="L68" s="257">
        <v>1.0135656245412989</v>
      </c>
      <c r="M68" s="123">
        <f>0.00461323724383932*100</f>
        <v>0.46132372438393204</v>
      </c>
      <c r="N68" s="251">
        <v>1.1778536537196338</v>
      </c>
      <c r="O68" s="257">
        <v>1.2360816027950874</v>
      </c>
      <c r="P68" s="123">
        <f>0.00623341845551713*100</f>
        <v>0.62334184555171301</v>
      </c>
      <c r="Q68" s="251">
        <v>1.3233909405108868</v>
      </c>
      <c r="R68" s="257">
        <v>0.84084248808860307</v>
      </c>
      <c r="S68" s="123">
        <f>0.00634212097873594*100</f>
        <v>0.63421209787359401</v>
      </c>
      <c r="T68" s="251">
        <v>1.280460335632442</v>
      </c>
      <c r="U68" s="245">
        <v>0.43324544652958613</v>
      </c>
    </row>
    <row r="69" spans="1:21" x14ac:dyDescent="0.35">
      <c r="A69" s="63" t="s">
        <v>115</v>
      </c>
      <c r="B69" s="64"/>
      <c r="C69" s="64"/>
      <c r="D69" s="124"/>
      <c r="E69" s="249"/>
      <c r="F69" s="255"/>
      <c r="G69" s="121"/>
      <c r="H69" s="249"/>
      <c r="I69" s="255"/>
      <c r="J69" s="121"/>
      <c r="K69" s="249"/>
      <c r="L69" s="255"/>
      <c r="M69" s="121"/>
      <c r="N69" s="249"/>
      <c r="O69" s="255"/>
      <c r="P69" s="121"/>
      <c r="Q69" s="249"/>
      <c r="R69" s="255"/>
      <c r="S69" s="121"/>
      <c r="T69" s="249"/>
      <c r="U69" s="243"/>
    </row>
    <row r="70" spans="1:21" x14ac:dyDescent="0.35">
      <c r="A70" s="19"/>
      <c r="B70" s="71" t="s">
        <v>116</v>
      </c>
      <c r="C70" s="72"/>
      <c r="D70" s="121">
        <f>0.00372691637443123*100</f>
        <v>0.372691637443123</v>
      </c>
      <c r="E70" s="249">
        <v>0.46063382804076941</v>
      </c>
      <c r="F70" s="255">
        <v>0.4834055560877018</v>
      </c>
      <c r="G70" s="121">
        <f>0.00345245645098559*100</f>
        <v>0.34524564509855898</v>
      </c>
      <c r="H70" s="249">
        <v>0.32692232141890687</v>
      </c>
      <c r="I70" s="255">
        <v>0.34308393557453132</v>
      </c>
      <c r="J70" s="121">
        <f>0.00378004707227196*100</f>
        <v>0.37800470722719598</v>
      </c>
      <c r="K70" s="249">
        <v>0.34366011424058357</v>
      </c>
      <c r="L70" s="255">
        <v>0.36064917189479401</v>
      </c>
      <c r="M70" s="121">
        <f>0.00351548881939288*100</f>
        <v>0.35154888193928802</v>
      </c>
      <c r="N70" s="249">
        <v>0.23453158533031288</v>
      </c>
      <c r="O70" s="255">
        <v>0.24612580432693659</v>
      </c>
      <c r="P70" s="121">
        <f>0.00175843776607498*100</f>
        <v>0.175843776607498</v>
      </c>
      <c r="Q70" s="249">
        <v>0.33046363492164477</v>
      </c>
      <c r="R70" s="255">
        <v>0.20996657639431204</v>
      </c>
      <c r="S70" s="121">
        <f>0.00206505858171101*100</f>
        <v>0.20650585817110098</v>
      </c>
      <c r="T70" s="249">
        <v>0.47759885355964943</v>
      </c>
      <c r="U70" s="243">
        <v>0.16159620318911988</v>
      </c>
    </row>
    <row r="71" spans="1:21" x14ac:dyDescent="0.35">
      <c r="A71" s="19"/>
      <c r="B71" s="76" t="s">
        <v>117</v>
      </c>
      <c r="C71" s="77"/>
      <c r="D71" s="121">
        <f>0.0453196901576229*100</f>
        <v>4.5319690157622894</v>
      </c>
      <c r="E71" s="249">
        <v>0.30344091668878848</v>
      </c>
      <c r="F71" s="255">
        <v>0.31844171257592291</v>
      </c>
      <c r="G71" s="121">
        <f>0.0496897003546729*100</f>
        <v>4.9689700354672901</v>
      </c>
      <c r="H71" s="249">
        <v>0.77586380026873791</v>
      </c>
      <c r="I71" s="255">
        <v>0.81421912370715344</v>
      </c>
      <c r="J71" s="121">
        <f>0.120478799046403*100</f>
        <v>12.0478799046403</v>
      </c>
      <c r="K71" s="249">
        <v>0.61307441078444369</v>
      </c>
      <c r="L71" s="255">
        <v>0.64338213658542631</v>
      </c>
      <c r="M71" s="121">
        <f>0.0932412695488399*100</f>
        <v>9.3241269548839902</v>
      </c>
      <c r="N71" s="249">
        <v>0.32307648709126929</v>
      </c>
      <c r="O71" s="255">
        <v>0.33904797996597302</v>
      </c>
      <c r="P71" s="121">
        <f>0.083357046575956*100</f>
        <v>8.3357046575955991</v>
      </c>
      <c r="Q71" s="249">
        <v>0.63131528087357414</v>
      </c>
      <c r="R71" s="255">
        <v>0.40111859261569766</v>
      </c>
      <c r="S71" s="121">
        <f>0.0811417197928632*100</f>
        <v>8.1141719792863203</v>
      </c>
      <c r="T71" s="249">
        <v>0.69172063381572491</v>
      </c>
      <c r="U71" s="243">
        <v>0.23404459047394266</v>
      </c>
    </row>
    <row r="72" spans="1:21" x14ac:dyDescent="0.35">
      <c r="A72" s="19"/>
      <c r="B72" s="71" t="s">
        <v>118</v>
      </c>
      <c r="C72" s="72"/>
      <c r="D72" s="121"/>
      <c r="E72" s="249"/>
      <c r="F72" s="255"/>
      <c r="G72" s="121"/>
      <c r="H72" s="249"/>
      <c r="I72" s="255"/>
      <c r="J72" s="121"/>
      <c r="K72" s="249"/>
      <c r="L72" s="255"/>
      <c r="M72" s="121"/>
      <c r="N72" s="249"/>
      <c r="O72" s="255"/>
      <c r="P72" s="121"/>
      <c r="Q72" s="249"/>
      <c r="R72" s="255"/>
      <c r="S72" s="121"/>
      <c r="T72" s="249"/>
      <c r="U72" s="243"/>
    </row>
    <row r="73" spans="1:21" x14ac:dyDescent="0.35">
      <c r="A73" s="19"/>
      <c r="B73" s="85"/>
      <c r="C73" s="86" t="s">
        <v>119</v>
      </c>
      <c r="D73" s="121">
        <f>0.0176882579740531*100</f>
        <v>1.7688257974053101</v>
      </c>
      <c r="E73" s="249">
        <v>0.81888119988995811</v>
      </c>
      <c r="F73" s="255">
        <v>0.85936311600530979</v>
      </c>
      <c r="G73" s="121">
        <f>0.0146049831432957*100</f>
        <v>1.46049831432957</v>
      </c>
      <c r="H73" s="249">
        <v>0.35228161905451355</v>
      </c>
      <c r="I73" s="255">
        <v>0.3696968863160669</v>
      </c>
      <c r="J73" s="121">
        <f>0.0265797641558335*100</f>
        <v>2.6579764155833501</v>
      </c>
      <c r="K73" s="249">
        <v>0.45466754157520206</v>
      </c>
      <c r="L73" s="255">
        <v>0.47714432243290639</v>
      </c>
      <c r="M73" s="121">
        <f>0.0179896048551001*100</f>
        <v>1.7989604855100101</v>
      </c>
      <c r="N73" s="249">
        <v>0.26207762326917688</v>
      </c>
      <c r="O73" s="255">
        <v>0.27503359827790741</v>
      </c>
      <c r="P73" s="121">
        <f>0.0270502354691742*100</f>
        <v>2.70502354691742</v>
      </c>
      <c r="Q73" s="249">
        <v>1.2849004492388509</v>
      </c>
      <c r="R73" s="255">
        <v>0.81638679668388703</v>
      </c>
      <c r="S73" s="121">
        <f>0.0255964831548332*100</f>
        <v>2.5596483154833201</v>
      </c>
      <c r="T73" s="249">
        <v>1.0190731391825134</v>
      </c>
      <c r="U73" s="243">
        <v>0.34480474322023108</v>
      </c>
    </row>
    <row r="74" spans="1:21" x14ac:dyDescent="0.35">
      <c r="A74" s="19"/>
      <c r="B74" s="85"/>
      <c r="C74" s="87" t="s">
        <v>120</v>
      </c>
      <c r="D74" s="121">
        <f>0.00775605002647753*100</f>
        <v>0.77560500264775301</v>
      </c>
      <c r="E74" s="249">
        <v>0.63541571862727653</v>
      </c>
      <c r="F74" s="255">
        <v>0.66682790127758285</v>
      </c>
      <c r="G74" s="121">
        <f>0.0336026869543779*100</f>
        <v>3.3602686954377905</v>
      </c>
      <c r="H74" s="249">
        <v>0.90818420440462599</v>
      </c>
      <c r="I74" s="255">
        <v>0.95308087169279443</v>
      </c>
      <c r="J74" s="121">
        <f>0.0284277198713321*100</f>
        <v>2.8427719871332102</v>
      </c>
      <c r="K74" s="249">
        <v>0.50467373589404785</v>
      </c>
      <c r="L74" s="255">
        <v>0.52962260496666724</v>
      </c>
      <c r="M74" s="121">
        <f>0.0237924502544996*100</f>
        <v>2.37924502544996</v>
      </c>
      <c r="N74" s="249">
        <v>0.48963557356069587</v>
      </c>
      <c r="O74" s="255">
        <v>0.51384102145550636</v>
      </c>
      <c r="P74" s="121">
        <f>0.0403731039797046*100</f>
        <v>4.0373103979704599</v>
      </c>
      <c r="Q74" s="249">
        <v>0.91792439734517428</v>
      </c>
      <c r="R74" s="255">
        <v>0.58322133733436909</v>
      </c>
      <c r="S74" s="121">
        <f>0.0374033255958059*100</f>
        <v>3.7403325595805899</v>
      </c>
      <c r="T74" s="249">
        <v>0.96936060399830959</v>
      </c>
      <c r="U74" s="243">
        <v>0.32798444125175169</v>
      </c>
    </row>
    <row r="75" spans="1:21" x14ac:dyDescent="0.35">
      <c r="A75" s="19"/>
      <c r="B75" s="85"/>
      <c r="C75" s="94" t="s">
        <v>121</v>
      </c>
      <c r="D75" s="121">
        <f>0.0021589021853964*100</f>
        <v>0.21589021853963999</v>
      </c>
      <c r="E75" s="249">
        <v>1.13287398386014</v>
      </c>
      <c r="F75" s="255">
        <v>1.1888783341737794</v>
      </c>
      <c r="G75" s="121">
        <f>0.00105440787312814*100</f>
        <v>0.10544078731281399</v>
      </c>
      <c r="H75" s="249">
        <v>1.6511616317544466</v>
      </c>
      <c r="I75" s="255">
        <v>1.7327878635919258</v>
      </c>
      <c r="J75" s="121">
        <f>0.00235201171597307*100</f>
        <v>0.23520117159730702</v>
      </c>
      <c r="K75" s="249">
        <v>1.064603775310708</v>
      </c>
      <c r="L75" s="255">
        <v>1.1172331441788739</v>
      </c>
      <c r="M75" s="121">
        <f>0.00473765995636476*100</f>
        <v>0.47376599563647598</v>
      </c>
      <c r="N75" s="249">
        <v>1.2810653022699816</v>
      </c>
      <c r="O75" s="255">
        <v>1.344395585236241</v>
      </c>
      <c r="P75" s="121">
        <f>0.00171033034150334*100</f>
        <v>0.171033034150334</v>
      </c>
      <c r="Q75" s="249">
        <v>1.7654448771277049</v>
      </c>
      <c r="R75" s="255">
        <v>1.1217101595801091</v>
      </c>
      <c r="S75" s="121">
        <f>0.00183586548064814*100</f>
        <v>0.183586548064814</v>
      </c>
      <c r="T75" s="249">
        <v>1.5656572545315277</v>
      </c>
      <c r="U75" s="243">
        <v>0.52974220089118684</v>
      </c>
    </row>
    <row r="76" spans="1:21" ht="15" thickBot="1" x14ac:dyDescent="0.4">
      <c r="A76" s="38"/>
      <c r="B76" s="88"/>
      <c r="C76" s="89" t="s">
        <v>224</v>
      </c>
      <c r="D76" s="121">
        <f>0.00388334687565141*100</f>
        <v>0.388334687565141</v>
      </c>
      <c r="E76" s="249">
        <v>0.95326406427762045</v>
      </c>
      <c r="F76" s="255">
        <v>1.0003892832850316</v>
      </c>
      <c r="G76" s="121">
        <f>0.00231219560478852*100</f>
        <v>0.231219560478852</v>
      </c>
      <c r="H76" s="249">
        <v>0.34181245318033182</v>
      </c>
      <c r="I76" s="255">
        <v>0.35871017052771775</v>
      </c>
      <c r="J76" s="121">
        <f>0.0022775179012852*100</f>
        <v>0.22775179012851998</v>
      </c>
      <c r="K76" s="249">
        <v>0.26020824993326619</v>
      </c>
      <c r="L76" s="255">
        <v>0.27307181127493152</v>
      </c>
      <c r="M76" s="121">
        <f>0.00296324728071431*100</f>
        <v>0.29632472807143101</v>
      </c>
      <c r="N76" s="249">
        <v>0.36434589867912276</v>
      </c>
      <c r="O76" s="255">
        <v>0.38235757132380277</v>
      </c>
      <c r="P76" s="121">
        <f>0.0024977902946546*100</f>
        <v>0.24977902946545999</v>
      </c>
      <c r="Q76" s="249">
        <v>0.3459958576339548</v>
      </c>
      <c r="R76" s="255">
        <v>0.21983527988258231</v>
      </c>
      <c r="S76" s="121">
        <f>0.00744656135494027*100</f>
        <v>0.74465613549402698</v>
      </c>
      <c r="T76" s="249">
        <v>0.66165824855569666</v>
      </c>
      <c r="U76" s="243">
        <v>0.22387294269752608</v>
      </c>
    </row>
    <row r="77" spans="1:21" ht="15.5" thickTop="1" thickBot="1" x14ac:dyDescent="0.4">
      <c r="A77" s="98" t="s">
        <v>122</v>
      </c>
      <c r="B77" s="99"/>
      <c r="C77" s="100"/>
      <c r="D77" s="238">
        <f>0.0766498167179811*100</f>
        <v>7.6649816717981096</v>
      </c>
      <c r="E77" s="254">
        <v>0.4022149922065722</v>
      </c>
      <c r="F77" s="260">
        <v>0.42209874772206257</v>
      </c>
      <c r="G77" s="238">
        <f>0.10240423477646*100</f>
        <v>10.240423477646001</v>
      </c>
      <c r="H77" s="254">
        <v>0.63618778017765865</v>
      </c>
      <c r="I77" s="260">
        <v>0.66763813018474727</v>
      </c>
      <c r="J77" s="238">
        <f>0.181618341861813*100</f>
        <v>18.161834186181299</v>
      </c>
      <c r="K77" s="254">
        <v>0.47411194844314297</v>
      </c>
      <c r="L77" s="260">
        <v>0.49754997599676182</v>
      </c>
      <c r="M77" s="238">
        <f>0.143276473434197*100</f>
        <v>14.3276473434197</v>
      </c>
      <c r="N77" s="254">
        <v>0.15546165603686737</v>
      </c>
      <c r="O77" s="260">
        <v>0.16314700248233938</v>
      </c>
      <c r="P77" s="238">
        <f>0.158056489586505*100</f>
        <v>15.805648958650501</v>
      </c>
      <c r="Q77" s="254">
        <v>0.51351100818961171</v>
      </c>
      <c r="R77" s="260">
        <v>0.32626932871427511</v>
      </c>
      <c r="S77" s="238">
        <f>0.151217655783403*100</f>
        <v>15.121765578340298</v>
      </c>
      <c r="T77" s="254">
        <v>0.55670214446010624</v>
      </c>
      <c r="U77" s="248">
        <v>0.18836090619040499</v>
      </c>
    </row>
    <row r="78" spans="1:21" ht="15.5" thickTop="1" thickBot="1" x14ac:dyDescent="0.4">
      <c r="A78" s="101" t="s">
        <v>123</v>
      </c>
      <c r="B78" s="102"/>
      <c r="C78" s="103"/>
      <c r="D78" s="125">
        <f>1*100</f>
        <v>100</v>
      </c>
      <c r="E78" s="235"/>
      <c r="F78" s="126"/>
      <c r="G78" s="240">
        <f>1*100</f>
        <v>100</v>
      </c>
      <c r="H78" s="127"/>
      <c r="I78" s="126"/>
      <c r="J78" s="240">
        <f>1*100</f>
        <v>100</v>
      </c>
      <c r="K78" s="127"/>
      <c r="L78" s="126"/>
      <c r="M78" s="240">
        <f>1*100</f>
        <v>100</v>
      </c>
      <c r="N78" s="127"/>
      <c r="O78" s="126"/>
      <c r="P78" s="240">
        <f>1*100</f>
        <v>100</v>
      </c>
      <c r="Q78" s="127"/>
      <c r="R78" s="241"/>
      <c r="S78" s="240">
        <f>1*100</f>
        <v>100</v>
      </c>
      <c r="T78" s="127"/>
      <c r="U78" s="128"/>
    </row>
  </sheetData>
  <mergeCells count="6">
    <mergeCell ref="S1:U1"/>
    <mergeCell ref="B16:C16"/>
    <mergeCell ref="D1:F1"/>
    <mergeCell ref="G1:I1"/>
    <mergeCell ref="J1:L1"/>
    <mergeCell ref="M1:O1"/>
  </mergeCells>
  <pageMargins left="0.25" right="0.25" top="0.75" bottom="0.75" header="0.3" footer="0.3"/>
  <pageSetup paperSize="9" scale="70" fitToHeight="0" orientation="landscape"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3D99AC28BE8D4AAF5C5AEF4E4D9CAA" ma:contentTypeVersion="13" ma:contentTypeDescription="Create a new document." ma:contentTypeScope="" ma:versionID="2a73204187062c74cb38b869981e1030">
  <xsd:schema xmlns:xsd="http://www.w3.org/2001/XMLSchema" xmlns:xs="http://www.w3.org/2001/XMLSchema" xmlns:p="http://schemas.microsoft.com/office/2006/metadata/properties" xmlns:ns2="01b8f78d-8373-4d8a-a0a1-4e94d0a3cd47" xmlns:ns3="429710a1-1477-4f54-a8ea-c432e0e484b1" targetNamespace="http://schemas.microsoft.com/office/2006/metadata/properties" ma:root="true" ma:fieldsID="47b40be68b83b1a43546878e1b6d8187" ns2:_="" ns3:_="">
    <xsd:import namespace="01b8f78d-8373-4d8a-a0a1-4e94d0a3cd47"/>
    <xsd:import namespace="429710a1-1477-4f54-a8ea-c432e0e484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8f78d-8373-4d8a-a0a1-4e94d0a3cd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9710a1-1477-4f54-a8ea-c432e0e484b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F9A216-D606-4C6B-8F69-18ABA81B484B}">
  <ds:schemaRefs>
    <ds:schemaRef ds:uri="http://purl.org/dc/elements/1.1/"/>
    <ds:schemaRef ds:uri="http://schemas.microsoft.com/office/2006/metadata/properties"/>
    <ds:schemaRef ds:uri="01b8f78d-8373-4d8a-a0a1-4e94d0a3cd47"/>
    <ds:schemaRef ds:uri="http://purl.org/dc/terms/"/>
    <ds:schemaRef ds:uri="429710a1-1477-4f54-a8ea-c432e0e484b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F954650-5BFC-479F-B362-8DD78150F347}"/>
</file>

<file path=customXml/itemProps3.xml><?xml version="1.0" encoding="utf-8"?>
<ds:datastoreItem xmlns:ds="http://schemas.openxmlformats.org/officeDocument/2006/customXml" ds:itemID="{C049CD69-7416-4A54-A635-B16EAA60E2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Kuvat</vt:lpstr>
      <vt:lpstr>Taulukot</vt:lpstr>
      <vt:lpstr>Liite 1</vt:lpstr>
      <vt:lpstr>Liite 2 </vt:lpstr>
      <vt:lpstr> Liite 3</vt:lpstr>
      <vt:lpstr>Liite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Valtonen Saara</dc:creator>
  <cp:keywords/>
  <dc:description/>
  <cp:lastModifiedBy>Tuominen Leena</cp:lastModifiedBy>
  <cp:revision/>
  <dcterms:created xsi:type="dcterms:W3CDTF">2019-02-12T13:51:25Z</dcterms:created>
  <dcterms:modified xsi:type="dcterms:W3CDTF">2022-02-10T11:45:58Z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0x010100603D99AC28BE8D4AAF5C5AEF4E4D9CAA</vt:lpwstr>
  </property>
  <property fmtid="{D5CDD505-2E9C-101B-9397-08002B2CF9AE}" pid="3" name="AuthorIds_UIVersion_19456">
    <vt:lpwstr>6</vt:lpwstr>
  </property>
</Properties>
</file>